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495" windowHeight="11955" activeTab="0"/>
  </bookViews>
  <sheets>
    <sheet name="Cons Cash flow projection" sheetId="1" r:id="rId1"/>
  </sheets>
  <externalReferences>
    <externalReference r:id="rId4"/>
  </externalReferences>
  <definedNames>
    <definedName name="_xlnm.Print_Area" localSheetId="0">'Cons Cash flow projection'!$A$1:$CD$40</definedName>
    <definedName name="_xlnm.Print_Titles" localSheetId="0">'Cons Cash flow projection'!$A:$B,'Cons Cash flow projection'!$1:$6</definedName>
  </definedNames>
  <calcPr fullCalcOnLoad="1"/>
</workbook>
</file>

<file path=xl/sharedStrings.xml><?xml version="1.0" encoding="utf-8"?>
<sst xmlns="http://schemas.openxmlformats.org/spreadsheetml/2006/main" count="361" uniqueCount="74">
  <si>
    <t>Annexure G - Cash Flow Projection</t>
  </si>
  <si>
    <t>Vote No.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</si>
  <si>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</si>
  <si>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</si>
  <si>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</si>
  <si>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</si>
  <si>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</si>
  <si>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</si>
  <si>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</si>
  <si>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</si>
  <si>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</si>
  <si>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</si>
  <si>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</si>
  <si>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</si>
  <si>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</si>
  <si>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2008 / 2009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</si>
  <si>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</si>
  <si>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</si>
  <si>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</si>
  <si>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</si>
  <si>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</si>
  <si>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</si>
  <si>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</si>
  <si>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</si>
  <si>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</si>
  <si>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</si>
  <si>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</si>
  <si>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>To implement Environmental Management</t>
  </si>
  <si>
    <t xml:space="preserve">Environmental Management 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</si>
  <si>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</si>
  <si>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</si>
  <si>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</si>
  <si>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</si>
  <si>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</si>
  <si>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</si>
  <si>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Office of the Municipal Manager</t>
  </si>
  <si>
    <t>003</t>
  </si>
  <si>
    <t>Corporate Support &amp; Shared Services</t>
  </si>
  <si>
    <t>004</t>
  </si>
  <si>
    <t>Planning and Economic Development</t>
  </si>
  <si>
    <t>005</t>
  </si>
  <si>
    <t>Infrastructure Development</t>
  </si>
  <si>
    <t>006</t>
  </si>
  <si>
    <t>Office of the Executive Mayor</t>
  </si>
  <si>
    <t>007</t>
  </si>
  <si>
    <t>Social Development &amp; Community Services</t>
  </si>
  <si>
    <t>008</t>
  </si>
  <si>
    <t>Fire Fighting</t>
  </si>
  <si>
    <t>009</t>
  </si>
  <si>
    <t>Environmentatl Health</t>
  </si>
  <si>
    <t>020</t>
  </si>
  <si>
    <t>Abattoir</t>
  </si>
  <si>
    <t>Total By Vote (Balanced to Cash Flow)</t>
  </si>
  <si>
    <t>Revenue by Source</t>
  </si>
  <si>
    <t>Total</t>
  </si>
  <si>
    <t>Proj Capex</t>
  </si>
  <si>
    <t>Capex</t>
  </si>
  <si>
    <t>Service charges - Abattoir</t>
  </si>
  <si>
    <t>Interest on Investments</t>
  </si>
  <si>
    <t>Interest on Outstanding debts - Abattoir</t>
  </si>
  <si>
    <t>RSC Levies</t>
  </si>
  <si>
    <t>Other income</t>
  </si>
  <si>
    <t>Fire Fighting income</t>
  </si>
  <si>
    <t>Equitable Shares</t>
  </si>
  <si>
    <t>FMG</t>
  </si>
  <si>
    <t>MSIG</t>
  </si>
  <si>
    <t>Environmental Health Grant</t>
  </si>
  <si>
    <t>LG SETA Training Grant</t>
  </si>
  <si>
    <t>LG SETA IT MSP Grant</t>
  </si>
  <si>
    <t>MIG/CMIP Grant</t>
  </si>
  <si>
    <t>Disaster Grant</t>
  </si>
  <si>
    <t>Integranted Transport Grant</t>
  </si>
  <si>
    <t>Insurance Claims</t>
  </si>
  <si>
    <t>Total Revenue by Source (Balanced to Cash Flow)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</si>
</sst>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u val="single"/>
      <sz val="9"/>
      <name val="Arial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5" fontId="18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49" fontId="20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top" wrapText="1"/>
    </xf>
    <xf numFmtId="17" fontId="18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165" fontId="18" fillId="0" borderId="10" xfId="42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165" fontId="18" fillId="0" borderId="10" xfId="42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65" fontId="19" fillId="0" borderId="10" xfId="42" applyNumberFormat="1" applyFont="1" applyFill="1" applyBorder="1" applyAlignment="1">
      <alignment horizontal="right"/>
    </xf>
    <xf numFmtId="165" fontId="22" fillId="0" borderId="10" xfId="42" applyNumberFormat="1" applyFont="1" applyFill="1" applyBorder="1" applyAlignment="1">
      <alignment horizontal="right"/>
    </xf>
    <xf numFmtId="165" fontId="19" fillId="33" borderId="10" xfId="42" applyNumberFormat="1" applyFont="1" applyFill="1" applyBorder="1" applyAlignment="1">
      <alignment horizontal="right"/>
    </xf>
    <xf numFmtId="165" fontId="0" fillId="0" borderId="10" xfId="42" applyNumberFormat="1" applyFont="1" applyFill="1" applyBorder="1" applyAlignment="1">
      <alignment/>
    </xf>
    <xf numFmtId="165" fontId="19" fillId="0" borderId="10" xfId="42" applyNumberFormat="1" applyFont="1" applyFill="1" applyBorder="1" applyAlignment="1">
      <alignment/>
    </xf>
    <xf numFmtId="165" fontId="19" fillId="0" borderId="10" xfId="42" applyNumberFormat="1" applyFont="1" applyFill="1" applyBorder="1" applyAlignment="1" applyProtection="1">
      <alignment/>
      <protection locked="0"/>
    </xf>
    <xf numFmtId="165" fontId="0" fillId="33" borderId="1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22" fillId="0" borderId="10" xfId="42" applyNumberFormat="1" applyFont="1" applyFill="1" applyBorder="1" applyAlignment="1">
      <alignment vertical="top" wrapText="1"/>
    </xf>
    <xf numFmtId="165" fontId="22" fillId="0" borderId="10" xfId="42" applyNumberFormat="1" applyFont="1" applyFill="1" applyBorder="1" applyAlignment="1">
      <alignment/>
    </xf>
    <xf numFmtId="49" fontId="19" fillId="0" borderId="10" xfId="42" applyNumberFormat="1" applyFont="1" applyFill="1" applyBorder="1" applyAlignment="1">
      <alignment horizontal="right"/>
    </xf>
    <xf numFmtId="49" fontId="22" fillId="0" borderId="10" xfId="42" applyNumberFormat="1" applyFont="1" applyFill="1" applyBorder="1" applyAlignment="1">
      <alignment horizontal="right"/>
    </xf>
    <xf numFmtId="165" fontId="19" fillId="0" borderId="10" xfId="42" applyNumberFormat="1" applyFont="1" applyFill="1" applyBorder="1" applyAlignment="1">
      <alignment/>
    </xf>
    <xf numFmtId="165" fontId="19" fillId="33" borderId="10" xfId="42" applyNumberFormat="1" applyFont="1" applyFill="1" applyBorder="1" applyAlignment="1">
      <alignment/>
    </xf>
    <xf numFmtId="165" fontId="19" fillId="0" borderId="14" xfId="42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3" fontId="24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25" fillId="0" borderId="10" xfId="45" applyNumberFormat="1" applyFont="1" applyFill="1" applyBorder="1" applyAlignment="1">
      <alignment readingOrder="1"/>
    </xf>
    <xf numFmtId="3" fontId="18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65" fontId="19" fillId="33" borderId="10" xfId="42" applyNumberFormat="1" applyFont="1" applyFill="1" applyBorder="1" applyAlignment="1">
      <alignment/>
    </xf>
    <xf numFmtId="165" fontId="19" fillId="33" borderId="11" xfId="42" applyNumberFormat="1" applyFont="1" applyFill="1" applyBorder="1" applyAlignment="1">
      <alignment/>
    </xf>
    <xf numFmtId="165" fontId="19" fillId="0" borderId="11" xfId="42" applyNumberFormat="1" applyFont="1" applyFill="1" applyBorder="1" applyAlignment="1">
      <alignment/>
    </xf>
    <xf numFmtId="165" fontId="23" fillId="0" borderId="10" xfId="42" applyNumberFormat="1" applyFont="1" applyFill="1" applyBorder="1" applyAlignment="1">
      <alignment/>
    </xf>
    <xf numFmtId="49" fontId="19" fillId="0" borderId="10" xfId="0" applyNumberFormat="1" applyFont="1" applyFill="1" applyBorder="1" applyAlignment="1" quotePrefix="1">
      <alignment/>
    </xf>
    <xf numFmtId="165" fontId="18" fillId="0" borderId="10" xfId="42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vertical="top" wrapText="1"/>
    </xf>
    <xf numFmtId="3" fontId="19" fillId="0" borderId="0" xfId="0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SDBIP%200809\Approved%200809%20SDBIP%20after%20Budget%20Adj%20-%2031.3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ons Cash flow projection"/>
      <sheetName val="01 Objectives"/>
      <sheetName val="01 Perf Indicators"/>
      <sheetName val="01 Projects"/>
      <sheetName val="02 Objectives"/>
      <sheetName val="02 Perf Indicators"/>
      <sheetName val="02 Projects"/>
      <sheetName val="03 Objectives"/>
      <sheetName val="03 Perf Indicators"/>
      <sheetName val="03 Projects"/>
      <sheetName val="04 Objectives"/>
      <sheetName val="04 Perf Indicators"/>
      <sheetName val="04 Projects"/>
      <sheetName val="05 Objectives"/>
      <sheetName val="05 Perf Indicators"/>
      <sheetName val="05 Projects"/>
      <sheetName val="06 Objectives"/>
      <sheetName val="06 Perf Indicators"/>
      <sheetName val="06 Projects"/>
      <sheetName val="07,08,09 Objectives"/>
      <sheetName val="07,08,09 Perf Indicators"/>
      <sheetName val="07,08,09 Projects"/>
      <sheetName val="Capital Works Plan"/>
      <sheetName val="Approval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tabSelected="1" zoomScalePageLayoutView="0" workbookViewId="0" topLeftCell="A1">
      <pane xSplit="2" ySplit="5" topLeftCell="AW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Y10" sqref="AY10"/>
    </sheetView>
  </sheetViews>
  <sheetFormatPr defaultColWidth="9.140625" defaultRowHeight="12.75"/>
  <cols>
    <col min="1" max="1" width="7.00390625" style="73" customWidth="1"/>
    <col min="2" max="2" width="40.140625" style="74" customWidth="1"/>
    <col min="3" max="3" width="13.8515625" style="7" bestFit="1" customWidth="1"/>
    <col min="4" max="4" width="14.28125" style="7" hidden="1" customWidth="1"/>
    <col min="5" max="5" width="14.57421875" style="7" customWidth="1"/>
    <col min="6" max="6" width="13.8515625" style="7" hidden="1" customWidth="1"/>
    <col min="7" max="7" width="15.00390625" style="7" customWidth="1"/>
    <col min="8" max="8" width="14.28125" style="7" hidden="1" customWidth="1"/>
    <col min="9" max="9" width="13.8515625" style="7" customWidth="1"/>
    <col min="10" max="10" width="14.57421875" style="7" hidden="1" customWidth="1"/>
    <col min="11" max="11" width="14.57421875" style="7" customWidth="1"/>
    <col min="12" max="12" width="14.57421875" style="7" hidden="1" customWidth="1"/>
    <col min="13" max="13" width="15.00390625" style="7" customWidth="1"/>
    <col min="14" max="14" width="14.28125" style="7" hidden="1" customWidth="1"/>
    <col min="15" max="15" width="13.8515625" style="77" customWidth="1"/>
    <col min="16" max="16" width="15.00390625" style="77" hidden="1" customWidth="1"/>
    <col min="17" max="17" width="14.57421875" style="7" customWidth="1"/>
    <col min="18" max="18" width="13.8515625" style="7" hidden="1" customWidth="1"/>
    <col min="19" max="19" width="14.8515625" style="7" customWidth="1"/>
    <col min="20" max="20" width="14.28125" style="7" hidden="1" customWidth="1"/>
    <col min="21" max="21" width="13.8515625" style="7" customWidth="1"/>
    <col min="22" max="22" width="15.00390625" style="7" hidden="1" customWidth="1"/>
    <col min="23" max="23" width="14.57421875" style="7" customWidth="1"/>
    <col min="24" max="24" width="15.28125" style="7" hidden="1" customWidth="1"/>
    <col min="25" max="25" width="15.00390625" style="7" customWidth="1"/>
    <col min="26" max="26" width="9.7109375" style="7" hidden="1" customWidth="1"/>
    <col min="27" max="27" width="13.8515625" style="7" customWidth="1"/>
    <col min="28" max="28" width="13.8515625" style="7" hidden="1" customWidth="1"/>
    <col min="29" max="29" width="14.57421875" style="7" customWidth="1"/>
    <col min="30" max="30" width="14.57421875" style="7" hidden="1" customWidth="1"/>
    <col min="31" max="31" width="15.00390625" style="7" customWidth="1"/>
    <col min="32" max="32" width="15.00390625" style="7" hidden="1" customWidth="1"/>
    <col min="33" max="33" width="13.8515625" style="7" customWidth="1"/>
    <col min="34" max="34" width="13.8515625" style="7" hidden="1" customWidth="1"/>
    <col min="35" max="35" width="14.57421875" style="7" customWidth="1"/>
    <col min="36" max="36" width="14.57421875" style="7" hidden="1" customWidth="1"/>
    <col min="37" max="37" width="15.00390625" style="7" customWidth="1"/>
    <col min="38" max="38" width="15.00390625" style="7" hidden="1" customWidth="1"/>
    <col min="39" max="39" width="13.8515625" style="7" customWidth="1"/>
    <col min="40" max="40" width="13.8515625" style="7" hidden="1" customWidth="1"/>
    <col min="41" max="41" width="14.57421875" style="7" customWidth="1"/>
    <col min="42" max="42" width="14.57421875" style="7" hidden="1" customWidth="1"/>
    <col min="43" max="43" width="15.00390625" style="7" customWidth="1"/>
    <col min="44" max="44" width="15.00390625" style="7" hidden="1" customWidth="1"/>
    <col min="45" max="45" width="13.8515625" style="7" customWidth="1"/>
    <col min="46" max="46" width="13.8515625" style="7" hidden="1" customWidth="1"/>
    <col min="47" max="47" width="15.28125" style="7" customWidth="1"/>
    <col min="48" max="48" width="14.57421875" style="7" hidden="1" customWidth="1"/>
    <col min="49" max="49" width="15.00390625" style="7" customWidth="1"/>
    <col min="50" max="50" width="15.00390625" style="7" hidden="1" customWidth="1"/>
    <col min="51" max="51" width="13.8515625" style="7" customWidth="1"/>
    <col min="52" max="52" width="13.8515625" style="7" hidden="1" customWidth="1"/>
    <col min="53" max="53" width="16.28125" style="7" customWidth="1"/>
    <col min="54" max="54" width="14.57421875" style="7" hidden="1" customWidth="1"/>
    <col min="55" max="55" width="15.00390625" style="7" customWidth="1"/>
    <col min="56" max="56" width="15.00390625" style="7" hidden="1" customWidth="1"/>
    <col min="57" max="57" width="13.8515625" style="7" customWidth="1"/>
    <col min="58" max="58" width="13.8515625" style="7" hidden="1" customWidth="1"/>
    <col min="59" max="59" width="15.7109375" style="7" customWidth="1"/>
    <col min="60" max="60" width="14.57421875" style="7" hidden="1" customWidth="1"/>
    <col min="61" max="61" width="16.140625" style="7" customWidth="1"/>
    <col min="62" max="62" width="15.00390625" style="7" hidden="1" customWidth="1"/>
    <col min="63" max="63" width="13.8515625" style="7" customWidth="1"/>
    <col min="64" max="64" width="13.8515625" style="7" hidden="1" customWidth="1"/>
    <col min="65" max="65" width="15.8515625" style="7" customWidth="1"/>
    <col min="66" max="66" width="14.57421875" style="7" hidden="1" customWidth="1"/>
    <col min="67" max="67" width="16.00390625" style="7" customWidth="1"/>
    <col min="68" max="68" width="15.00390625" style="7" hidden="1" customWidth="1"/>
    <col min="69" max="69" width="14.421875" style="7" customWidth="1"/>
    <col min="70" max="70" width="13.8515625" style="7" hidden="1" customWidth="1"/>
    <col min="71" max="71" width="16.421875" style="7" customWidth="1"/>
    <col min="72" max="72" width="14.57421875" style="7" hidden="1" customWidth="1"/>
    <col min="73" max="73" width="15.00390625" style="7" customWidth="1"/>
    <col min="74" max="74" width="15.00390625" style="7" hidden="1" customWidth="1"/>
    <col min="75" max="75" width="16.00390625" style="78" customWidth="1"/>
    <col min="76" max="76" width="12.57421875" style="7" customWidth="1"/>
    <col min="77" max="77" width="15.140625" style="79" customWidth="1"/>
    <col min="78" max="78" width="10.140625" style="7" bestFit="1" customWidth="1"/>
    <col min="79" max="79" width="10.7109375" style="7" customWidth="1"/>
    <col min="80" max="80" width="10.28125" style="7" bestFit="1" customWidth="1"/>
    <col min="81" max="81" width="8.7109375" style="7" bestFit="1" customWidth="1"/>
    <col min="82" max="82" width="9.7109375" style="7" bestFit="1" customWidth="1"/>
    <col min="83" max="16384" width="9.140625" style="7" customWidth="1"/>
  </cols>
  <sheetData>
    <row r="1" spans="1:77" ht="13.5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6"/>
      <c r="BX1" s="5"/>
      <c r="BY1" s="5"/>
    </row>
    <row r="2" spans="1:77" s="16" customFormat="1" ht="14.25" thickBot="1" thickTop="1">
      <c r="A2" s="8" t="s">
        <v>1</v>
      </c>
      <c r="B2" s="9"/>
      <c r="C2" s="10" t="s">
        <v>2</v>
      </c>
      <c r="D2" s="11"/>
      <c r="E2" s="11"/>
      <c r="F2" s="11"/>
      <c r="G2" s="11"/>
      <c r="H2" s="11"/>
      <c r="I2" s="12" t="s">
        <v>3</v>
      </c>
      <c r="J2" s="12"/>
      <c r="K2" s="12"/>
      <c r="L2" s="12"/>
      <c r="M2" s="12"/>
      <c r="N2" s="12"/>
      <c r="O2" s="12" t="s">
        <v>4</v>
      </c>
      <c r="P2" s="12"/>
      <c r="Q2" s="12"/>
      <c r="R2" s="12"/>
      <c r="S2" s="12"/>
      <c r="T2" s="12"/>
      <c r="U2" s="13" t="s">
        <v>5</v>
      </c>
      <c r="V2" s="14"/>
      <c r="W2" s="14"/>
      <c r="X2" s="14"/>
      <c r="Y2" s="14"/>
      <c r="Z2" s="15"/>
      <c r="AA2" s="13" t="s">
        <v>6</v>
      </c>
      <c r="AB2" s="14"/>
      <c r="AC2" s="14"/>
      <c r="AD2" s="14"/>
      <c r="AE2" s="14"/>
      <c r="AF2" s="15"/>
      <c r="AG2" s="13" t="s">
        <v>7</v>
      </c>
      <c r="AH2" s="14"/>
      <c r="AI2" s="14"/>
      <c r="AJ2" s="14"/>
      <c r="AK2" s="14"/>
      <c r="AL2" s="15"/>
      <c r="AM2" s="13" t="s">
        <v>8</v>
      </c>
      <c r="AN2" s="14"/>
      <c r="AO2" s="14"/>
      <c r="AP2" s="14"/>
      <c r="AQ2" s="14"/>
      <c r="AR2" s="15"/>
      <c r="AS2" s="13" t="s">
        <v>9</v>
      </c>
      <c r="AT2" s="14"/>
      <c r="AU2" s="14"/>
      <c r="AV2" s="14"/>
      <c r="AW2" s="14"/>
      <c r="AX2" s="15"/>
      <c r="AY2" s="13" t="s">
        <v>10</v>
      </c>
      <c r="AZ2" s="14"/>
      <c r="BA2" s="14"/>
      <c r="BB2" s="14"/>
      <c r="BC2" s="14"/>
      <c r="BD2" s="15"/>
      <c r="BE2" s="13" t="s">
        <v>11</v>
      </c>
      <c r="BF2" s="14"/>
      <c r="BG2" s="14"/>
      <c r="BH2" s="14"/>
      <c r="BI2" s="14"/>
      <c r="BJ2" s="15"/>
      <c r="BK2" s="13" t="s">
        <v>12</v>
      </c>
      <c r="BL2" s="14"/>
      <c r="BM2" s="14"/>
      <c r="BN2" s="14"/>
      <c r="BO2" s="14"/>
      <c r="BP2" s="15"/>
      <c r="BQ2" s="13" t="s">
        <v>13</v>
      </c>
      <c r="BR2" s="14"/>
      <c r="BS2" s="14"/>
      <c r="BT2" s="14"/>
      <c r="BU2" s="14"/>
      <c r="BV2" s="15"/>
      <c r="BW2" s="13" t="s">
        <v>14</v>
      </c>
      <c r="BX2" s="14"/>
      <c r="BY2" s="15"/>
    </row>
    <row r="3" spans="1:77" s="16" customFormat="1" ht="14.25" thickBot="1" thickTop="1">
      <c r="A3" s="17"/>
      <c r="B3" s="9"/>
      <c r="C3" s="12">
        <v>2008</v>
      </c>
      <c r="D3" s="12"/>
      <c r="E3" s="12"/>
      <c r="F3" s="12"/>
      <c r="G3" s="12"/>
      <c r="H3" s="12"/>
      <c r="I3" s="12">
        <v>2008</v>
      </c>
      <c r="J3" s="12"/>
      <c r="K3" s="12"/>
      <c r="L3" s="12"/>
      <c r="M3" s="12"/>
      <c r="N3" s="12"/>
      <c r="O3" s="12">
        <v>2008</v>
      </c>
      <c r="P3" s="12"/>
      <c r="Q3" s="12"/>
      <c r="R3" s="12"/>
      <c r="S3" s="12"/>
      <c r="T3" s="12"/>
      <c r="U3" s="12">
        <v>2008</v>
      </c>
      <c r="V3" s="12"/>
      <c r="W3" s="12"/>
      <c r="X3" s="12"/>
      <c r="Y3" s="12"/>
      <c r="Z3" s="12"/>
      <c r="AA3" s="12">
        <v>2008</v>
      </c>
      <c r="AB3" s="12"/>
      <c r="AC3" s="12"/>
      <c r="AD3" s="12"/>
      <c r="AE3" s="12"/>
      <c r="AF3" s="12"/>
      <c r="AG3" s="12">
        <v>2008</v>
      </c>
      <c r="AH3" s="12"/>
      <c r="AI3" s="12"/>
      <c r="AJ3" s="12"/>
      <c r="AK3" s="12"/>
      <c r="AL3" s="12"/>
      <c r="AM3" s="13">
        <v>2009</v>
      </c>
      <c r="AN3" s="14"/>
      <c r="AO3" s="14"/>
      <c r="AP3" s="14"/>
      <c r="AQ3" s="14"/>
      <c r="AR3" s="15"/>
      <c r="AS3" s="13">
        <v>2009</v>
      </c>
      <c r="AT3" s="14"/>
      <c r="AU3" s="14"/>
      <c r="AV3" s="14"/>
      <c r="AW3" s="14"/>
      <c r="AX3" s="15"/>
      <c r="AY3" s="13">
        <v>2009</v>
      </c>
      <c r="AZ3" s="14"/>
      <c r="BA3" s="14"/>
      <c r="BB3" s="14"/>
      <c r="BC3" s="14"/>
      <c r="BD3" s="15"/>
      <c r="BE3" s="13">
        <v>2009</v>
      </c>
      <c r="BF3" s="14"/>
      <c r="BG3" s="14"/>
      <c r="BH3" s="14"/>
      <c r="BI3" s="14"/>
      <c r="BJ3" s="15"/>
      <c r="BK3" s="13">
        <v>2009</v>
      </c>
      <c r="BL3" s="14"/>
      <c r="BM3" s="14"/>
      <c r="BN3" s="14"/>
      <c r="BO3" s="14"/>
      <c r="BP3" s="15"/>
      <c r="BQ3" s="13">
        <v>2009</v>
      </c>
      <c r="BR3" s="14"/>
      <c r="BS3" s="14"/>
      <c r="BT3" s="14"/>
      <c r="BU3" s="14"/>
      <c r="BV3" s="15"/>
      <c r="BW3" s="18"/>
      <c r="BX3" s="19" t="s">
        <v>15</v>
      </c>
      <c r="BY3" s="19"/>
    </row>
    <row r="4" spans="1:77" s="16" customFormat="1" ht="14.25" thickBot="1" thickTop="1">
      <c r="A4" s="17"/>
      <c r="B4" s="9"/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16</v>
      </c>
      <c r="J4" s="20" t="s">
        <v>17</v>
      </c>
      <c r="K4" s="20" t="s">
        <v>18</v>
      </c>
      <c r="L4" s="20" t="s">
        <v>19</v>
      </c>
      <c r="M4" s="20" t="s">
        <v>20</v>
      </c>
      <c r="N4" s="20" t="s">
        <v>21</v>
      </c>
      <c r="O4" s="20" t="s">
        <v>16</v>
      </c>
      <c r="P4" s="20" t="s">
        <v>17</v>
      </c>
      <c r="Q4" s="20" t="s">
        <v>18</v>
      </c>
      <c r="R4" s="20" t="s">
        <v>19</v>
      </c>
      <c r="S4" s="20" t="s">
        <v>20</v>
      </c>
      <c r="T4" s="20" t="s">
        <v>21</v>
      </c>
      <c r="U4" s="20" t="s">
        <v>16</v>
      </c>
      <c r="V4" s="20" t="s">
        <v>17</v>
      </c>
      <c r="W4" s="20" t="s">
        <v>18</v>
      </c>
      <c r="X4" s="20" t="s">
        <v>19</v>
      </c>
      <c r="Y4" s="20" t="s">
        <v>20</v>
      </c>
      <c r="Z4" s="20" t="s">
        <v>21</v>
      </c>
      <c r="AA4" s="20" t="s">
        <v>16</v>
      </c>
      <c r="AB4" s="20" t="s">
        <v>17</v>
      </c>
      <c r="AC4" s="20" t="s">
        <v>18</v>
      </c>
      <c r="AD4" s="20" t="s">
        <v>19</v>
      </c>
      <c r="AE4" s="20" t="s">
        <v>20</v>
      </c>
      <c r="AF4" s="20" t="s">
        <v>21</v>
      </c>
      <c r="AG4" s="20" t="s">
        <v>16</v>
      </c>
      <c r="AH4" s="20" t="s">
        <v>17</v>
      </c>
      <c r="AI4" s="20" t="s">
        <v>18</v>
      </c>
      <c r="AJ4" s="20" t="s">
        <v>19</v>
      </c>
      <c r="AK4" s="20" t="s">
        <v>20</v>
      </c>
      <c r="AL4" s="20" t="s">
        <v>21</v>
      </c>
      <c r="AM4" s="20" t="s">
        <v>16</v>
      </c>
      <c r="AN4" s="20" t="s">
        <v>17</v>
      </c>
      <c r="AO4" s="20" t="s">
        <v>18</v>
      </c>
      <c r="AP4" s="20" t="s">
        <v>19</v>
      </c>
      <c r="AQ4" s="20" t="s">
        <v>20</v>
      </c>
      <c r="AR4" s="20" t="s">
        <v>21</v>
      </c>
      <c r="AS4" s="20" t="s">
        <v>16</v>
      </c>
      <c r="AT4" s="20" t="s">
        <v>17</v>
      </c>
      <c r="AU4" s="20" t="s">
        <v>18</v>
      </c>
      <c r="AV4" s="20" t="s">
        <v>19</v>
      </c>
      <c r="AW4" s="20" t="s">
        <v>20</v>
      </c>
      <c r="AX4" s="20" t="s">
        <v>21</v>
      </c>
      <c r="AY4" s="20" t="s">
        <v>16</v>
      </c>
      <c r="AZ4" s="20" t="s">
        <v>17</v>
      </c>
      <c r="BA4" s="20" t="s">
        <v>18</v>
      </c>
      <c r="BB4" s="20" t="s">
        <v>19</v>
      </c>
      <c r="BC4" s="20" t="s">
        <v>20</v>
      </c>
      <c r="BD4" s="20" t="s">
        <v>21</v>
      </c>
      <c r="BE4" s="20" t="s">
        <v>16</v>
      </c>
      <c r="BF4" s="20" t="s">
        <v>17</v>
      </c>
      <c r="BG4" s="20" t="s">
        <v>18</v>
      </c>
      <c r="BH4" s="20" t="s">
        <v>19</v>
      </c>
      <c r="BI4" s="20" t="s">
        <v>20</v>
      </c>
      <c r="BJ4" s="20" t="s">
        <v>21</v>
      </c>
      <c r="BK4" s="20" t="s">
        <v>16</v>
      </c>
      <c r="BL4" s="20" t="s">
        <v>17</v>
      </c>
      <c r="BM4" s="20" t="s">
        <v>18</v>
      </c>
      <c r="BN4" s="20" t="s">
        <v>19</v>
      </c>
      <c r="BO4" s="20" t="s">
        <v>20</v>
      </c>
      <c r="BP4" s="20" t="s">
        <v>21</v>
      </c>
      <c r="BQ4" s="20" t="s">
        <v>16</v>
      </c>
      <c r="BR4" s="20" t="s">
        <v>17</v>
      </c>
      <c r="BS4" s="20" t="s">
        <v>18</v>
      </c>
      <c r="BT4" s="20" t="s">
        <v>19</v>
      </c>
      <c r="BU4" s="20" t="s">
        <v>20</v>
      </c>
      <c r="BV4" s="20" t="s">
        <v>21</v>
      </c>
      <c r="BW4" s="21" t="s">
        <v>22</v>
      </c>
      <c r="BX4" s="20" t="s">
        <v>23</v>
      </c>
      <c r="BY4" s="20" t="s">
        <v>24</v>
      </c>
    </row>
    <row r="5" spans="1:77" s="16" customFormat="1" ht="17.25" thickBot="1" thickTop="1">
      <c r="A5" s="17" t="s">
        <v>25</v>
      </c>
      <c r="B5" s="9" t="s">
        <v>26</v>
      </c>
      <c r="C5" s="22" t="s">
        <v>27</v>
      </c>
      <c r="D5" s="23" t="s">
        <v>28</v>
      </c>
      <c r="E5" s="20" t="s">
        <v>29</v>
      </c>
      <c r="F5" s="20"/>
      <c r="G5" s="20"/>
      <c r="H5" s="20" t="s">
        <v>29</v>
      </c>
      <c r="I5" s="20"/>
      <c r="J5" s="20" t="s">
        <v>29</v>
      </c>
      <c r="K5" s="20"/>
      <c r="L5" s="20" t="s">
        <v>29</v>
      </c>
      <c r="M5" s="20">
        <v>4</v>
      </c>
      <c r="N5" s="20" t="s">
        <v>29</v>
      </c>
      <c r="O5" s="20" t="s">
        <v>29</v>
      </c>
      <c r="P5" s="20" t="s">
        <v>29</v>
      </c>
      <c r="Q5" s="20" t="s">
        <v>29</v>
      </c>
      <c r="R5" s="20" t="s">
        <v>29</v>
      </c>
      <c r="S5" s="20" t="s">
        <v>29</v>
      </c>
      <c r="T5" s="20" t="s">
        <v>29</v>
      </c>
      <c r="U5" s="20" t="s">
        <v>29</v>
      </c>
      <c r="V5" s="20" t="s">
        <v>29</v>
      </c>
      <c r="W5" s="20" t="s">
        <v>29</v>
      </c>
      <c r="X5" s="20" t="s">
        <v>29</v>
      </c>
      <c r="Y5" s="20" t="s">
        <v>29</v>
      </c>
      <c r="Z5" s="20" t="s">
        <v>29</v>
      </c>
      <c r="AA5" s="20" t="s">
        <v>29</v>
      </c>
      <c r="AB5" s="20" t="s">
        <v>29</v>
      </c>
      <c r="AC5" s="20" t="s">
        <v>29</v>
      </c>
      <c r="AD5" s="20" t="s">
        <v>29</v>
      </c>
      <c r="AE5" s="20" t="s">
        <v>29</v>
      </c>
      <c r="AF5" s="20" t="s">
        <v>29</v>
      </c>
      <c r="AG5" s="20" t="s">
        <v>29</v>
      </c>
      <c r="AH5" s="20" t="s">
        <v>29</v>
      </c>
      <c r="AI5" s="20" t="s">
        <v>29</v>
      </c>
      <c r="AJ5" s="20" t="s">
        <v>29</v>
      </c>
      <c r="AK5" s="20" t="s">
        <v>29</v>
      </c>
      <c r="AL5" s="20" t="s">
        <v>29</v>
      </c>
      <c r="AM5" s="20" t="s">
        <v>29</v>
      </c>
      <c r="AN5" s="20" t="s">
        <v>29</v>
      </c>
      <c r="AO5" s="20" t="s">
        <v>29</v>
      </c>
      <c r="AP5" s="20" t="s">
        <v>29</v>
      </c>
      <c r="AQ5" s="20" t="s">
        <v>29</v>
      </c>
      <c r="AR5" s="20" t="s">
        <v>29</v>
      </c>
      <c r="AS5" s="20" t="s">
        <v>29</v>
      </c>
      <c r="AT5" s="20" t="s">
        <v>29</v>
      </c>
      <c r="AU5" s="20" t="s">
        <v>29</v>
      </c>
      <c r="AV5" s="20" t="s">
        <v>29</v>
      </c>
      <c r="AW5" s="20" t="s">
        <v>29</v>
      </c>
      <c r="AX5" s="20" t="s">
        <v>29</v>
      </c>
      <c r="AY5" s="20" t="s">
        <v>29</v>
      </c>
      <c r="AZ5" s="20" t="s">
        <v>29</v>
      </c>
      <c r="BA5" s="20" t="s">
        <v>29</v>
      </c>
      <c r="BB5" s="20" t="s">
        <v>29</v>
      </c>
      <c r="BC5" s="20" t="s">
        <v>29</v>
      </c>
      <c r="BD5" s="20" t="s">
        <v>29</v>
      </c>
      <c r="BE5" s="20" t="s">
        <v>29</v>
      </c>
      <c r="BF5" s="20" t="s">
        <v>29</v>
      </c>
      <c r="BG5" s="20" t="s">
        <v>29</v>
      </c>
      <c r="BH5" s="20" t="s">
        <v>29</v>
      </c>
      <c r="BI5" s="20" t="s">
        <v>29</v>
      </c>
      <c r="BJ5" s="20" t="s">
        <v>29</v>
      </c>
      <c r="BK5" s="20" t="s">
        <v>29</v>
      </c>
      <c r="BL5" s="20" t="s">
        <v>29</v>
      </c>
      <c r="BM5" s="20" t="s">
        <v>29</v>
      </c>
      <c r="BN5" s="20" t="s">
        <v>29</v>
      </c>
      <c r="BO5" s="20" t="s">
        <v>29</v>
      </c>
      <c r="BP5" s="20" t="s">
        <v>29</v>
      </c>
      <c r="BQ5" s="20" t="s">
        <v>29</v>
      </c>
      <c r="BR5" s="20" t="s">
        <v>29</v>
      </c>
      <c r="BS5" s="20" t="s">
        <v>29</v>
      </c>
      <c r="BT5" s="20" t="s">
        <v>29</v>
      </c>
      <c r="BU5" s="20" t="s">
        <v>29</v>
      </c>
      <c r="BV5" s="20" t="s">
        <v>29</v>
      </c>
      <c r="BW5" s="21" t="s">
        <v>29</v>
      </c>
      <c r="BX5" s="20" t="s">
        <v>30</v>
      </c>
      <c r="BY5" s="20" t="s">
        <v>30</v>
      </c>
    </row>
    <row r="6" spans="1:77" ht="14.25" thickBot="1" thickTop="1">
      <c r="A6" s="24"/>
      <c r="B6" s="25" t="s">
        <v>31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7"/>
      <c r="BX6" s="26"/>
      <c r="BY6" s="28"/>
    </row>
    <row r="7" spans="1:77" ht="14.25" thickBot="1" thickTop="1">
      <c r="A7" s="24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27"/>
      <c r="BR7" s="30"/>
      <c r="BS7" s="30"/>
      <c r="BT7" s="30"/>
      <c r="BU7" s="30"/>
      <c r="BV7" s="30"/>
      <c r="BW7" s="30"/>
      <c r="BX7" s="31"/>
      <c r="BY7" s="30"/>
    </row>
    <row r="8" spans="1:77" ht="15" thickBot="1" thickTop="1">
      <c r="A8" s="24" t="s">
        <v>32</v>
      </c>
      <c r="B8" s="29" t="s">
        <v>33</v>
      </c>
      <c r="C8" s="32">
        <f>6671631/12</f>
        <v>555969.25</v>
      </c>
      <c r="D8" s="33"/>
      <c r="E8" s="32">
        <v>0</v>
      </c>
      <c r="F8" s="32"/>
      <c r="G8" s="32">
        <f>G25+G27+G28+G30+G31</f>
        <v>23279662</v>
      </c>
      <c r="H8" s="32"/>
      <c r="I8" s="32">
        <f>(6671631/12)*2</f>
        <v>1111938.5</v>
      </c>
      <c r="J8" s="32"/>
      <c r="K8" s="32">
        <v>10000</v>
      </c>
      <c r="L8" s="32"/>
      <c r="M8" s="32">
        <f>M25+M27+M28+M30+M31</f>
        <v>23830622</v>
      </c>
      <c r="N8" s="32"/>
      <c r="O8" s="32">
        <f>(6671631/12)*3</f>
        <v>1667907.75</v>
      </c>
      <c r="P8" s="32"/>
      <c r="Q8" s="32">
        <v>10000</v>
      </c>
      <c r="R8" s="32"/>
      <c r="S8" s="32">
        <f>S25+S27+S28+S30+S31</f>
        <v>24331582</v>
      </c>
      <c r="T8" s="32"/>
      <c r="U8" s="32">
        <f>(6671631/12)*4</f>
        <v>2223877</v>
      </c>
      <c r="V8" s="32"/>
      <c r="W8" s="32">
        <v>10000</v>
      </c>
      <c r="X8" s="32"/>
      <c r="Y8" s="32">
        <f>Y25+Y27+Y28+Y30+Y31</f>
        <v>24782542</v>
      </c>
      <c r="Z8" s="32"/>
      <c r="AA8" s="32">
        <f>(6671631/12)*5</f>
        <v>2779846.25</v>
      </c>
      <c r="AB8" s="32"/>
      <c r="AC8" s="32">
        <v>10000</v>
      </c>
      <c r="AD8" s="32"/>
      <c r="AE8" s="32">
        <f>AE25+AE27+AE28+AE30+AE31</f>
        <v>42342528</v>
      </c>
      <c r="AF8" s="32"/>
      <c r="AG8" s="32">
        <f>(6671631/12)*6</f>
        <v>3335815.5</v>
      </c>
      <c r="AH8" s="32"/>
      <c r="AI8" s="32">
        <v>10000</v>
      </c>
      <c r="AJ8" s="32"/>
      <c r="AK8" s="32">
        <f>AK25+AK27+AK28+AK30+AK31</f>
        <v>42743488</v>
      </c>
      <c r="AL8" s="32"/>
      <c r="AM8" s="32">
        <f>(6671631/12)*7</f>
        <v>3891784.75</v>
      </c>
      <c r="AN8" s="32"/>
      <c r="AO8" s="32">
        <v>10000</v>
      </c>
      <c r="AP8" s="32"/>
      <c r="AQ8" s="32">
        <f>AQ25+AQ27+AQ28+AQ30+AQ31</f>
        <v>43094448</v>
      </c>
      <c r="AR8" s="32"/>
      <c r="AS8" s="32">
        <f>(6671631/12)*8</f>
        <v>4447754</v>
      </c>
      <c r="AT8" s="32"/>
      <c r="AU8" s="32">
        <v>10000</v>
      </c>
      <c r="AV8" s="32"/>
      <c r="AW8" s="32">
        <f>AW25+AW27+AW28+AW30+AW31</f>
        <v>71543680</v>
      </c>
      <c r="AX8" s="32"/>
      <c r="AY8" s="34">
        <f>(6671631/12)*9</f>
        <v>5003723.25</v>
      </c>
      <c r="AZ8" s="32"/>
      <c r="BA8" s="32">
        <v>0</v>
      </c>
      <c r="BB8" s="32"/>
      <c r="BC8" s="32">
        <f>BC25+BC27+BC28+BC30+BC31</f>
        <v>72314640</v>
      </c>
      <c r="BD8" s="32"/>
      <c r="BE8" s="34">
        <f>((6671631/12)*10)+100000</f>
        <v>5659692.5</v>
      </c>
      <c r="BF8" s="32"/>
      <c r="BG8" s="32">
        <v>0</v>
      </c>
      <c r="BH8" s="32"/>
      <c r="BI8" s="32">
        <f>BI25+BI27+BI28+BI30+BI31</f>
        <v>72615600</v>
      </c>
      <c r="BJ8" s="32"/>
      <c r="BK8" s="34">
        <f>((6671631/12)*11)+200000</f>
        <v>6315661.75</v>
      </c>
      <c r="BL8" s="32"/>
      <c r="BM8" s="32">
        <v>0</v>
      </c>
      <c r="BN8" s="32"/>
      <c r="BO8" s="32">
        <f>BO25+BO27+BO28+BO30+BO31</f>
        <v>72866560</v>
      </c>
      <c r="BP8" s="32"/>
      <c r="BQ8" s="34">
        <f>((6671631/12)*12)+350000</f>
        <v>7021631</v>
      </c>
      <c r="BR8" s="32"/>
      <c r="BS8" s="32">
        <v>0</v>
      </c>
      <c r="BT8" s="32"/>
      <c r="BU8" s="32">
        <f>BU25+BU27+BU28+BU30+BU31</f>
        <v>73117500</v>
      </c>
      <c r="BV8" s="32"/>
      <c r="BW8" s="34">
        <f aca="true" t="shared" si="0" ref="BW8:BW17">BQ8</f>
        <v>7021631</v>
      </c>
      <c r="BX8" s="35">
        <f aca="true" t="shared" si="1" ref="BX8:BX17">BS8</f>
        <v>0</v>
      </c>
      <c r="BY8" s="36">
        <f>BU8</f>
        <v>73117500</v>
      </c>
    </row>
    <row r="9" spans="1:77" ht="15" thickBot="1" thickTop="1">
      <c r="A9" s="24" t="s">
        <v>34</v>
      </c>
      <c r="B9" s="29" t="s">
        <v>35</v>
      </c>
      <c r="C9" s="32">
        <f>((4782057-851000)/12)+20000</f>
        <v>347588.0833333333</v>
      </c>
      <c r="D9" s="33"/>
      <c r="E9" s="32">
        <v>0</v>
      </c>
      <c r="F9" s="32"/>
      <c r="G9" s="32">
        <f>G32</f>
        <v>367500</v>
      </c>
      <c r="H9" s="32"/>
      <c r="I9" s="32">
        <f>(327588*2)+70000</f>
        <v>725176</v>
      </c>
      <c r="J9" s="32"/>
      <c r="K9" s="32">
        <v>20000</v>
      </c>
      <c r="L9" s="32"/>
      <c r="M9" s="32">
        <f>M32</f>
        <v>367500</v>
      </c>
      <c r="N9" s="32"/>
      <c r="O9" s="32">
        <f>(327588*3)+150000</f>
        <v>1132764</v>
      </c>
      <c r="P9" s="32"/>
      <c r="Q9" s="32">
        <v>20000</v>
      </c>
      <c r="R9" s="32"/>
      <c r="S9" s="32">
        <f>S32</f>
        <v>367500</v>
      </c>
      <c r="T9" s="32"/>
      <c r="U9" s="32">
        <f>(327588*4)+165000</f>
        <v>1475352</v>
      </c>
      <c r="V9" s="32"/>
      <c r="W9" s="32">
        <v>20000</v>
      </c>
      <c r="X9" s="32"/>
      <c r="Y9" s="32">
        <f>Y32</f>
        <v>367500</v>
      </c>
      <c r="Z9" s="32"/>
      <c r="AA9" s="32">
        <f>(327588*5)+180000</f>
        <v>1817940</v>
      </c>
      <c r="AB9" s="32"/>
      <c r="AC9" s="32">
        <v>20000</v>
      </c>
      <c r="AD9" s="32"/>
      <c r="AE9" s="32">
        <f>AE32</f>
        <v>735000</v>
      </c>
      <c r="AF9" s="32"/>
      <c r="AG9" s="32">
        <f>(327588*6)+305000</f>
        <v>2270528</v>
      </c>
      <c r="AH9" s="32"/>
      <c r="AI9" s="37">
        <v>1110000</v>
      </c>
      <c r="AJ9" s="37"/>
      <c r="AK9" s="32">
        <f>AK32</f>
        <v>735000</v>
      </c>
      <c r="AL9" s="32"/>
      <c r="AM9" s="32">
        <f>(327588*7)+425000</f>
        <v>2718116</v>
      </c>
      <c r="AN9" s="32"/>
      <c r="AO9" s="37">
        <v>1110000</v>
      </c>
      <c r="AP9" s="32"/>
      <c r="AQ9" s="32">
        <f>AQ32</f>
        <v>735000</v>
      </c>
      <c r="AR9" s="32"/>
      <c r="AS9" s="32">
        <f>(327588*8)+611111</f>
        <v>3231815</v>
      </c>
      <c r="AT9" s="32"/>
      <c r="AU9" s="37">
        <v>1110000</v>
      </c>
      <c r="AV9" s="32"/>
      <c r="AW9" s="32">
        <f>AW32</f>
        <v>735000</v>
      </c>
      <c r="AX9" s="32"/>
      <c r="AY9" s="34">
        <f>(327588*9)+771000-500000</f>
        <v>3219292</v>
      </c>
      <c r="AZ9" s="32"/>
      <c r="BA9" s="37">
        <v>1110000</v>
      </c>
      <c r="BB9" s="32"/>
      <c r="BC9" s="32">
        <f>BC32</f>
        <v>735000</v>
      </c>
      <c r="BD9" s="32"/>
      <c r="BE9" s="34">
        <f>(327588*10)+851000-500000</f>
        <v>3626880</v>
      </c>
      <c r="BF9" s="32"/>
      <c r="BG9" s="37">
        <v>1110000</v>
      </c>
      <c r="BH9" s="32"/>
      <c r="BI9" s="32">
        <f>BI32</f>
        <v>735000</v>
      </c>
      <c r="BJ9" s="32"/>
      <c r="BK9" s="34">
        <f>(327588*11)+851000-500000</f>
        <v>3954468</v>
      </c>
      <c r="BL9" s="32"/>
      <c r="BM9" s="37">
        <v>1110000</v>
      </c>
      <c r="BN9" s="32"/>
      <c r="BO9" s="32">
        <f>BO32</f>
        <v>735000</v>
      </c>
      <c r="BP9" s="32"/>
      <c r="BQ9" s="34">
        <f>(327588*12)+851000+1-500000</f>
        <v>4282057</v>
      </c>
      <c r="BR9" s="32"/>
      <c r="BS9" s="34">
        <v>3696491</v>
      </c>
      <c r="BT9" s="32"/>
      <c r="BU9" s="32">
        <f>BU32</f>
        <v>735000</v>
      </c>
      <c r="BV9" s="32"/>
      <c r="BW9" s="34">
        <f>BQ9</f>
        <v>4282057</v>
      </c>
      <c r="BX9" s="38">
        <f t="shared" si="1"/>
        <v>3696491</v>
      </c>
      <c r="BY9" s="36">
        <f aca="true" t="shared" si="2" ref="BY9:BY17">BU9</f>
        <v>735000</v>
      </c>
    </row>
    <row r="10" spans="1:77" ht="15" thickBot="1" thickTop="1">
      <c r="A10" s="24" t="s">
        <v>36</v>
      </c>
      <c r="B10" s="29" t="s">
        <v>37</v>
      </c>
      <c r="C10" s="32">
        <f>(9077151-300000)/12</f>
        <v>731429.25</v>
      </c>
      <c r="D10" s="33"/>
      <c r="E10" s="32">
        <v>0</v>
      </c>
      <c r="F10" s="32"/>
      <c r="G10" s="32">
        <f>G34+G39</f>
        <v>0</v>
      </c>
      <c r="H10" s="32"/>
      <c r="I10" s="32">
        <f>(731429*2)</f>
        <v>1462858</v>
      </c>
      <c r="J10" s="32"/>
      <c r="K10" s="32">
        <v>0</v>
      </c>
      <c r="L10" s="32"/>
      <c r="M10" s="32">
        <f>M34+M39</f>
        <v>0</v>
      </c>
      <c r="N10" s="32"/>
      <c r="O10" s="32">
        <f>(731429*3)</f>
        <v>2194287</v>
      </c>
      <c r="P10" s="32"/>
      <c r="Q10" s="32">
        <v>60000</v>
      </c>
      <c r="R10" s="32"/>
      <c r="S10" s="32">
        <f>S34+S39</f>
        <v>0</v>
      </c>
      <c r="T10" s="32"/>
      <c r="U10" s="32">
        <f>(731429*4)+200000</f>
        <v>3125716</v>
      </c>
      <c r="V10" s="32"/>
      <c r="W10" s="32">
        <v>60000</v>
      </c>
      <c r="X10" s="32"/>
      <c r="Y10" s="32">
        <f>Y34+Y39</f>
        <v>0</v>
      </c>
      <c r="Z10" s="32"/>
      <c r="AA10" s="32">
        <f>(731429*5)+200000</f>
        <v>3857145</v>
      </c>
      <c r="AB10" s="32"/>
      <c r="AC10" s="32">
        <v>240000</v>
      </c>
      <c r="AD10" s="32"/>
      <c r="AE10" s="32">
        <f>AE34+AE39</f>
        <v>0</v>
      </c>
      <c r="AF10" s="32"/>
      <c r="AG10" s="32">
        <f>(731429*6)+200000</f>
        <v>4588574</v>
      </c>
      <c r="AH10" s="32"/>
      <c r="AI10" s="37">
        <v>290000</v>
      </c>
      <c r="AJ10" s="37"/>
      <c r="AK10" s="32">
        <f>AK34+AK39</f>
        <v>0</v>
      </c>
      <c r="AL10" s="32"/>
      <c r="AM10" s="32">
        <f>(731429*7)+200000</f>
        <v>5320003</v>
      </c>
      <c r="AN10" s="32"/>
      <c r="AO10" s="32">
        <v>290000</v>
      </c>
      <c r="AP10" s="32"/>
      <c r="AQ10" s="32">
        <f>AQ34+AQ39</f>
        <v>0</v>
      </c>
      <c r="AR10" s="32"/>
      <c r="AS10" s="32">
        <f>(731429*8)+300000</f>
        <v>6151432</v>
      </c>
      <c r="AT10" s="32"/>
      <c r="AU10" s="32">
        <v>290000</v>
      </c>
      <c r="AV10" s="32"/>
      <c r="AW10" s="32">
        <f>AW34+AW39</f>
        <v>0</v>
      </c>
      <c r="AX10" s="32"/>
      <c r="AY10" s="34">
        <f>(731429*9)+300000-120582</f>
        <v>6762279</v>
      </c>
      <c r="AZ10" s="32"/>
      <c r="BA10" s="32">
        <v>350000</v>
      </c>
      <c r="BB10" s="32"/>
      <c r="BC10" s="32">
        <f>BC34+BC39+BC35</f>
        <v>132018</v>
      </c>
      <c r="BD10" s="32"/>
      <c r="BE10" s="34">
        <f>(731429*10)+300000-120582</f>
        <v>7493708</v>
      </c>
      <c r="BF10" s="32"/>
      <c r="BG10" s="32">
        <v>350000</v>
      </c>
      <c r="BH10" s="32"/>
      <c r="BI10" s="32">
        <f>BI34+BI39+BI35</f>
        <v>432018</v>
      </c>
      <c r="BJ10" s="32"/>
      <c r="BK10" s="34">
        <f>(731429*11)+300000-120582</f>
        <v>8225137</v>
      </c>
      <c r="BL10" s="32"/>
      <c r="BM10" s="32">
        <v>3400000</v>
      </c>
      <c r="BN10" s="32"/>
      <c r="BO10" s="32">
        <f>BO34+BO39+BO35</f>
        <v>632018</v>
      </c>
      <c r="BP10" s="32"/>
      <c r="BQ10" s="34">
        <f>(731429*12)+300000+3-120582</f>
        <v>8956569</v>
      </c>
      <c r="BR10" s="32"/>
      <c r="BS10" s="32">
        <v>3800000</v>
      </c>
      <c r="BT10" s="32"/>
      <c r="BU10" s="32">
        <f>BU34+BU39+BU35</f>
        <v>632018</v>
      </c>
      <c r="BV10" s="32"/>
      <c r="BW10" s="34">
        <f>BQ10</f>
        <v>8956569</v>
      </c>
      <c r="BX10" s="35">
        <f t="shared" si="1"/>
        <v>3800000</v>
      </c>
      <c r="BY10" s="36">
        <f t="shared" si="2"/>
        <v>632018</v>
      </c>
    </row>
    <row r="11" spans="1:77" ht="15" thickBot="1" thickTop="1">
      <c r="A11" s="24" t="s">
        <v>38</v>
      </c>
      <c r="B11" s="29" t="s">
        <v>39</v>
      </c>
      <c r="C11" s="32">
        <f>4868581/12</f>
        <v>405715.0833333333</v>
      </c>
      <c r="D11" s="33"/>
      <c r="E11" s="32">
        <v>0</v>
      </c>
      <c r="F11" s="32"/>
      <c r="G11" s="32">
        <v>0</v>
      </c>
      <c r="H11" s="32"/>
      <c r="I11" s="32">
        <f>405715*2</f>
        <v>811430</v>
      </c>
      <c r="J11" s="32"/>
      <c r="K11" s="32">
        <v>375000</v>
      </c>
      <c r="L11" s="32"/>
      <c r="M11" s="32">
        <v>0</v>
      </c>
      <c r="N11" s="32"/>
      <c r="O11" s="32">
        <f>405715*3</f>
        <v>1217145</v>
      </c>
      <c r="P11" s="32"/>
      <c r="Q11" s="32">
        <v>1225000</v>
      </c>
      <c r="R11" s="32"/>
      <c r="S11" s="32">
        <v>0</v>
      </c>
      <c r="T11" s="32"/>
      <c r="U11" s="32">
        <f>405715*4</f>
        <v>1622860</v>
      </c>
      <c r="V11" s="32"/>
      <c r="W11" s="32">
        <v>1705000</v>
      </c>
      <c r="X11" s="32"/>
      <c r="Y11" s="32">
        <v>0</v>
      </c>
      <c r="Z11" s="32"/>
      <c r="AA11" s="32">
        <f>405715*5</f>
        <v>2028575</v>
      </c>
      <c r="AB11" s="32"/>
      <c r="AC11" s="32">
        <v>2760000</v>
      </c>
      <c r="AD11" s="32"/>
      <c r="AE11" s="32">
        <v>0</v>
      </c>
      <c r="AF11" s="32"/>
      <c r="AG11" s="32">
        <f>405715*6</f>
        <v>2434290</v>
      </c>
      <c r="AH11" s="32"/>
      <c r="AI11" s="32">
        <v>2980000</v>
      </c>
      <c r="AJ11" s="32"/>
      <c r="AK11" s="32">
        <v>0</v>
      </c>
      <c r="AL11" s="32"/>
      <c r="AM11" s="32">
        <f>405715*7</f>
        <v>2840005</v>
      </c>
      <c r="AN11" s="32"/>
      <c r="AO11" s="32">
        <v>2980000</v>
      </c>
      <c r="AP11" s="32"/>
      <c r="AQ11" s="32">
        <v>0</v>
      </c>
      <c r="AR11" s="32"/>
      <c r="AS11" s="32">
        <f>405715*8</f>
        <v>3245720</v>
      </c>
      <c r="AT11" s="32"/>
      <c r="AU11" s="32">
        <v>3600000</v>
      </c>
      <c r="AV11" s="32"/>
      <c r="AW11" s="32">
        <v>0</v>
      </c>
      <c r="AX11" s="32"/>
      <c r="AY11" s="32">
        <f>405715*9</f>
        <v>3651435</v>
      </c>
      <c r="AZ11" s="32"/>
      <c r="BA11" s="32">
        <v>4000000</v>
      </c>
      <c r="BB11" s="32"/>
      <c r="BC11" s="32">
        <f>BC37+BC38</f>
        <v>37380</v>
      </c>
      <c r="BD11" s="32"/>
      <c r="BE11" s="32">
        <f>405715*10</f>
        <v>4057150</v>
      </c>
      <c r="BF11" s="32"/>
      <c r="BG11" s="32">
        <v>4000000</v>
      </c>
      <c r="BH11" s="32"/>
      <c r="BI11" s="32">
        <f>BI37+BI38</f>
        <v>119380</v>
      </c>
      <c r="BJ11" s="32"/>
      <c r="BK11" s="32">
        <f>405715*11</f>
        <v>4462865</v>
      </c>
      <c r="BL11" s="32"/>
      <c r="BM11" s="34">
        <v>5567000</v>
      </c>
      <c r="BN11" s="32"/>
      <c r="BO11" s="32">
        <f>BO37+BO38</f>
        <v>219380</v>
      </c>
      <c r="BP11" s="32"/>
      <c r="BQ11" s="32">
        <f>(405715*12)+1</f>
        <v>4868581</v>
      </c>
      <c r="BR11" s="32"/>
      <c r="BS11" s="34">
        <v>5947000</v>
      </c>
      <c r="BT11" s="32"/>
      <c r="BU11" s="32">
        <f>BU37+BU38</f>
        <v>376380</v>
      </c>
      <c r="BV11" s="32"/>
      <c r="BW11" s="32">
        <f t="shared" si="0"/>
        <v>4868581</v>
      </c>
      <c r="BX11" s="38">
        <f t="shared" si="1"/>
        <v>5947000</v>
      </c>
      <c r="BY11" s="36">
        <f t="shared" si="2"/>
        <v>376380</v>
      </c>
    </row>
    <row r="12" spans="1:77" s="39" customFormat="1" ht="15" thickBot="1" thickTop="1">
      <c r="A12" s="24" t="s">
        <v>40</v>
      </c>
      <c r="B12" s="29" t="s">
        <v>41</v>
      </c>
      <c r="C12" s="32">
        <f>2926741/12</f>
        <v>243895.08333333334</v>
      </c>
      <c r="D12" s="33"/>
      <c r="E12" s="32">
        <v>5100000</v>
      </c>
      <c r="F12" s="32"/>
      <c r="G12" s="32">
        <v>0</v>
      </c>
      <c r="H12" s="32"/>
      <c r="I12" s="32">
        <f>243895*2</f>
        <v>487790</v>
      </c>
      <c r="J12" s="32"/>
      <c r="K12" s="32">
        <v>5100000</v>
      </c>
      <c r="L12" s="32"/>
      <c r="M12" s="32">
        <v>0</v>
      </c>
      <c r="N12" s="32"/>
      <c r="O12" s="32">
        <f>243895*3</f>
        <v>731685</v>
      </c>
      <c r="P12" s="32"/>
      <c r="Q12" s="32">
        <v>5600000</v>
      </c>
      <c r="R12" s="32"/>
      <c r="S12" s="32">
        <v>0</v>
      </c>
      <c r="T12" s="32"/>
      <c r="U12" s="32">
        <f>243895*4</f>
        <v>975580</v>
      </c>
      <c r="V12" s="32"/>
      <c r="W12" s="32">
        <v>5750000</v>
      </c>
      <c r="X12" s="32"/>
      <c r="Y12" s="32">
        <v>0</v>
      </c>
      <c r="Z12" s="32"/>
      <c r="AA12" s="32">
        <f>243895*5</f>
        <v>1219475</v>
      </c>
      <c r="AB12" s="32"/>
      <c r="AC12" s="32">
        <v>6250000</v>
      </c>
      <c r="AD12" s="32"/>
      <c r="AE12" s="32">
        <v>0</v>
      </c>
      <c r="AF12" s="32"/>
      <c r="AG12" s="32">
        <f>243895*6</f>
        <v>1463370</v>
      </c>
      <c r="AH12" s="32"/>
      <c r="AI12" s="32">
        <v>7250000</v>
      </c>
      <c r="AJ12" s="32"/>
      <c r="AK12" s="32">
        <v>0</v>
      </c>
      <c r="AL12" s="32"/>
      <c r="AM12" s="32">
        <f>243895*7</f>
        <v>1707265</v>
      </c>
      <c r="AN12" s="32"/>
      <c r="AO12" s="32">
        <v>8400000</v>
      </c>
      <c r="AP12" s="32"/>
      <c r="AQ12" s="32">
        <v>0</v>
      </c>
      <c r="AR12" s="32"/>
      <c r="AS12" s="32">
        <f>243895*8</f>
        <v>1951160</v>
      </c>
      <c r="AT12" s="32"/>
      <c r="AU12" s="32">
        <v>8400000</v>
      </c>
      <c r="AV12" s="32"/>
      <c r="AW12" s="32">
        <v>0</v>
      </c>
      <c r="AX12" s="32"/>
      <c r="AY12" s="34">
        <f>(243895*9)-926972</f>
        <v>1268083</v>
      </c>
      <c r="AZ12" s="32"/>
      <c r="BA12" s="34">
        <v>8600000</v>
      </c>
      <c r="BB12" s="32"/>
      <c r="BC12" s="32">
        <f>BC36</f>
        <v>1614965</v>
      </c>
      <c r="BD12" s="32"/>
      <c r="BE12" s="34">
        <f>(243895*10)-926972</f>
        <v>1511978</v>
      </c>
      <c r="BF12" s="32"/>
      <c r="BG12" s="34">
        <v>8600000</v>
      </c>
      <c r="BH12" s="32"/>
      <c r="BI12" s="32">
        <f>BI36</f>
        <v>1614965</v>
      </c>
      <c r="BJ12" s="32"/>
      <c r="BK12" s="34">
        <f>(243895*11)-926972</f>
        <v>1755873</v>
      </c>
      <c r="BL12" s="32"/>
      <c r="BM12" s="34">
        <v>8600000</v>
      </c>
      <c r="BN12" s="32"/>
      <c r="BO12" s="32">
        <f>BO36</f>
        <v>1614965</v>
      </c>
      <c r="BP12" s="32"/>
      <c r="BQ12" s="34">
        <f>(243895*12)+1-926972</f>
        <v>1999769</v>
      </c>
      <c r="BR12" s="32"/>
      <c r="BS12" s="34">
        <v>10150000</v>
      </c>
      <c r="BT12" s="32"/>
      <c r="BU12" s="32">
        <f>BU36</f>
        <v>1614965</v>
      </c>
      <c r="BV12" s="32"/>
      <c r="BW12" s="34">
        <f t="shared" si="0"/>
        <v>1999769</v>
      </c>
      <c r="BX12" s="34">
        <f t="shared" si="1"/>
        <v>10150000</v>
      </c>
      <c r="BY12" s="36">
        <f t="shared" si="2"/>
        <v>1614965</v>
      </c>
    </row>
    <row r="13" spans="1:77" s="39" customFormat="1" ht="15" thickBot="1" thickTop="1">
      <c r="A13" s="24" t="s">
        <v>42</v>
      </c>
      <c r="B13" s="29" t="s">
        <v>43</v>
      </c>
      <c r="C13" s="32">
        <f>((11426880-1050000)/12)+70000</f>
        <v>934740</v>
      </c>
      <c r="D13" s="33"/>
      <c r="E13" s="32">
        <v>110000</v>
      </c>
      <c r="F13" s="32"/>
      <c r="G13" s="32">
        <v>0</v>
      </c>
      <c r="H13" s="32"/>
      <c r="I13" s="32">
        <f>(864740*2)+80000</f>
        <v>1809480</v>
      </c>
      <c r="J13" s="32"/>
      <c r="K13" s="32">
        <v>250000</v>
      </c>
      <c r="L13" s="32"/>
      <c r="M13" s="32">
        <v>0</v>
      </c>
      <c r="N13" s="32"/>
      <c r="O13" s="32">
        <f>(864740*3)+190000</f>
        <v>2784220</v>
      </c>
      <c r="P13" s="32"/>
      <c r="Q13" s="32">
        <v>270000</v>
      </c>
      <c r="R13" s="32"/>
      <c r="S13" s="32">
        <v>0</v>
      </c>
      <c r="T13" s="32"/>
      <c r="U13" s="32">
        <f>(864740*4)+340000</f>
        <v>3798960</v>
      </c>
      <c r="V13" s="32"/>
      <c r="W13" s="32">
        <v>320000</v>
      </c>
      <c r="X13" s="36"/>
      <c r="Y13" s="32">
        <v>0</v>
      </c>
      <c r="Z13" s="32"/>
      <c r="AA13" s="32">
        <f>(864740*5)+370000</f>
        <v>4693700</v>
      </c>
      <c r="AB13" s="32"/>
      <c r="AC13" s="32">
        <v>370000</v>
      </c>
      <c r="AD13" s="36"/>
      <c r="AE13" s="32">
        <v>0</v>
      </c>
      <c r="AF13" s="32"/>
      <c r="AG13" s="32">
        <f>(864740*6)+520000</f>
        <v>5708440</v>
      </c>
      <c r="AH13" s="32"/>
      <c r="AI13" s="32">
        <v>480000</v>
      </c>
      <c r="AJ13" s="36"/>
      <c r="AK13" s="32">
        <v>0</v>
      </c>
      <c r="AL13" s="32"/>
      <c r="AM13" s="32">
        <f>(864740*7)+640000</f>
        <v>6693180</v>
      </c>
      <c r="AN13" s="32"/>
      <c r="AO13" s="32">
        <v>530000</v>
      </c>
      <c r="AP13" s="36"/>
      <c r="AQ13" s="32">
        <v>0</v>
      </c>
      <c r="AR13" s="32"/>
      <c r="AS13" s="32">
        <f>(864740*8)+680000</f>
        <v>7597920</v>
      </c>
      <c r="AT13" s="32"/>
      <c r="AU13" s="32">
        <v>700000</v>
      </c>
      <c r="AV13" s="36"/>
      <c r="AW13" s="32">
        <v>0</v>
      </c>
      <c r="AX13" s="32"/>
      <c r="AY13" s="34">
        <f>(864740*9)+780000-162228</f>
        <v>8400432</v>
      </c>
      <c r="AZ13" s="32"/>
      <c r="BA13" s="32">
        <v>800000</v>
      </c>
      <c r="BB13" s="36"/>
      <c r="BC13" s="32">
        <v>0</v>
      </c>
      <c r="BD13" s="32"/>
      <c r="BE13" s="34">
        <f>(864740*10)+880000-162228</f>
        <v>9365172</v>
      </c>
      <c r="BF13" s="32"/>
      <c r="BG13" s="32">
        <v>1150000</v>
      </c>
      <c r="BH13" s="36"/>
      <c r="BI13" s="32">
        <v>0</v>
      </c>
      <c r="BJ13" s="32"/>
      <c r="BK13" s="34">
        <f>(864740*11)+900000-162228</f>
        <v>10249912</v>
      </c>
      <c r="BL13" s="32"/>
      <c r="BM13" s="32">
        <v>1300000</v>
      </c>
      <c r="BN13" s="36"/>
      <c r="BO13" s="32">
        <v>0</v>
      </c>
      <c r="BP13" s="32"/>
      <c r="BQ13" s="34">
        <f>(864740*12)+1050000-162228</f>
        <v>11264652</v>
      </c>
      <c r="BR13" s="32"/>
      <c r="BS13" s="32">
        <v>1900000</v>
      </c>
      <c r="BT13" s="36"/>
      <c r="BU13" s="32">
        <v>0</v>
      </c>
      <c r="BV13" s="32"/>
      <c r="BW13" s="34">
        <f t="shared" si="0"/>
        <v>11264652</v>
      </c>
      <c r="BX13" s="32">
        <f t="shared" si="1"/>
        <v>1900000</v>
      </c>
      <c r="BY13" s="36">
        <f t="shared" si="2"/>
        <v>0</v>
      </c>
    </row>
    <row r="14" spans="1:77" s="39" customFormat="1" ht="15" thickBot="1" thickTop="1">
      <c r="A14" s="24" t="s">
        <v>44</v>
      </c>
      <c r="B14" s="29" t="s">
        <v>45</v>
      </c>
      <c r="C14" s="32">
        <f>2308285/12</f>
        <v>192357.08333333334</v>
      </c>
      <c r="D14" s="33"/>
      <c r="E14" s="32">
        <v>0</v>
      </c>
      <c r="F14" s="32"/>
      <c r="G14" s="32">
        <v>0</v>
      </c>
      <c r="H14" s="32"/>
      <c r="I14" s="32">
        <f>192357*2</f>
        <v>384714</v>
      </c>
      <c r="J14" s="32"/>
      <c r="K14" s="32">
        <v>0</v>
      </c>
      <c r="L14" s="32"/>
      <c r="M14" s="32">
        <v>0</v>
      </c>
      <c r="N14" s="32"/>
      <c r="O14" s="32">
        <f>192357*3</f>
        <v>577071</v>
      </c>
      <c r="P14" s="32"/>
      <c r="Q14" s="32">
        <v>10000</v>
      </c>
      <c r="R14" s="32"/>
      <c r="S14" s="32">
        <v>0</v>
      </c>
      <c r="T14" s="32"/>
      <c r="U14" s="32">
        <f>192357*4</f>
        <v>769428</v>
      </c>
      <c r="V14" s="32"/>
      <c r="W14" s="32">
        <v>10000</v>
      </c>
      <c r="X14" s="36"/>
      <c r="Y14" s="32">
        <v>0</v>
      </c>
      <c r="Z14" s="32"/>
      <c r="AA14" s="32">
        <f>192357*5</f>
        <v>961785</v>
      </c>
      <c r="AB14" s="32"/>
      <c r="AC14" s="32">
        <v>10000</v>
      </c>
      <c r="AD14" s="36"/>
      <c r="AE14" s="32">
        <v>0</v>
      </c>
      <c r="AF14" s="32"/>
      <c r="AG14" s="32">
        <f>192357*6</f>
        <v>1154142</v>
      </c>
      <c r="AH14" s="32"/>
      <c r="AI14" s="32">
        <v>10000</v>
      </c>
      <c r="AJ14" s="36"/>
      <c r="AK14" s="32">
        <v>0</v>
      </c>
      <c r="AL14" s="32"/>
      <c r="AM14" s="32">
        <f>192357*7</f>
        <v>1346499</v>
      </c>
      <c r="AN14" s="32"/>
      <c r="AO14" s="32">
        <v>10000</v>
      </c>
      <c r="AP14" s="36"/>
      <c r="AQ14" s="32">
        <v>0</v>
      </c>
      <c r="AR14" s="32"/>
      <c r="AS14" s="32">
        <f>192357*8</f>
        <v>1538856</v>
      </c>
      <c r="AT14" s="32"/>
      <c r="AU14" s="32">
        <v>10000</v>
      </c>
      <c r="AV14" s="36"/>
      <c r="AW14" s="32">
        <v>0</v>
      </c>
      <c r="AX14" s="32"/>
      <c r="AY14" s="32">
        <f>192357*9</f>
        <v>1731213</v>
      </c>
      <c r="AZ14" s="32"/>
      <c r="BA14" s="32">
        <v>10000</v>
      </c>
      <c r="BB14" s="36"/>
      <c r="BC14" s="32">
        <v>0</v>
      </c>
      <c r="BD14" s="32"/>
      <c r="BE14" s="32">
        <f>192357*10</f>
        <v>1923570</v>
      </c>
      <c r="BF14" s="32"/>
      <c r="BG14" s="32">
        <v>10000</v>
      </c>
      <c r="BH14" s="36"/>
      <c r="BI14" s="32">
        <v>0</v>
      </c>
      <c r="BJ14" s="32"/>
      <c r="BK14" s="32">
        <f>192357*11</f>
        <v>2115927</v>
      </c>
      <c r="BL14" s="32"/>
      <c r="BM14" s="32">
        <v>500000</v>
      </c>
      <c r="BN14" s="36"/>
      <c r="BO14" s="32">
        <v>0</v>
      </c>
      <c r="BP14" s="32"/>
      <c r="BQ14" s="32">
        <f>(192357*12)+1</f>
        <v>2308285</v>
      </c>
      <c r="BR14" s="32"/>
      <c r="BS14" s="32">
        <v>500000</v>
      </c>
      <c r="BT14" s="36"/>
      <c r="BU14" s="32">
        <v>0</v>
      </c>
      <c r="BV14" s="32"/>
      <c r="BW14" s="32">
        <f t="shared" si="0"/>
        <v>2308285</v>
      </c>
      <c r="BX14" s="32">
        <f t="shared" si="1"/>
        <v>500000</v>
      </c>
      <c r="BY14" s="36">
        <f t="shared" si="2"/>
        <v>0</v>
      </c>
    </row>
    <row r="15" spans="1:77" s="39" customFormat="1" ht="15" thickBot="1" thickTop="1">
      <c r="A15" s="24" t="s">
        <v>46</v>
      </c>
      <c r="B15" s="29" t="s">
        <v>47</v>
      </c>
      <c r="C15" s="32">
        <f>5610320/12</f>
        <v>467526.6666666667</v>
      </c>
      <c r="D15" s="33"/>
      <c r="E15" s="40">
        <v>0</v>
      </c>
      <c r="F15" s="37"/>
      <c r="G15" s="32">
        <f>G29</f>
        <v>4040</v>
      </c>
      <c r="H15" s="32"/>
      <c r="I15" s="32">
        <f>467527*2</f>
        <v>935054</v>
      </c>
      <c r="J15" s="32"/>
      <c r="K15" s="40">
        <v>0</v>
      </c>
      <c r="L15" s="37"/>
      <c r="M15" s="32">
        <f>M29</f>
        <v>8080</v>
      </c>
      <c r="N15" s="32"/>
      <c r="O15" s="32">
        <f>467527*3</f>
        <v>1402581</v>
      </c>
      <c r="P15" s="32"/>
      <c r="Q15" s="40">
        <v>0</v>
      </c>
      <c r="R15" s="37"/>
      <c r="S15" s="32">
        <f>S29</f>
        <v>18620</v>
      </c>
      <c r="T15" s="32"/>
      <c r="U15" s="32">
        <f>467527*4</f>
        <v>1870108</v>
      </c>
      <c r="V15" s="32"/>
      <c r="W15" s="40">
        <v>0</v>
      </c>
      <c r="X15" s="37"/>
      <c r="Y15" s="32">
        <f>Y29</f>
        <v>26660</v>
      </c>
      <c r="Z15" s="32"/>
      <c r="AA15" s="32">
        <f>467527*5</f>
        <v>2337635</v>
      </c>
      <c r="AB15" s="32"/>
      <c r="AC15" s="40">
        <v>0</v>
      </c>
      <c r="AD15" s="37"/>
      <c r="AE15" s="32">
        <f>AE29</f>
        <v>34700</v>
      </c>
      <c r="AF15" s="32"/>
      <c r="AG15" s="32">
        <f>467527*6</f>
        <v>2805162</v>
      </c>
      <c r="AH15" s="32"/>
      <c r="AI15" s="40">
        <v>0</v>
      </c>
      <c r="AJ15" s="37"/>
      <c r="AK15" s="32">
        <f>AK29</f>
        <v>42740</v>
      </c>
      <c r="AL15" s="32"/>
      <c r="AM15" s="32">
        <f>467527*7</f>
        <v>3272689</v>
      </c>
      <c r="AN15" s="32"/>
      <c r="AO15" s="40">
        <v>0</v>
      </c>
      <c r="AP15" s="37"/>
      <c r="AQ15" s="32">
        <f>AQ29</f>
        <v>50780</v>
      </c>
      <c r="AR15" s="32"/>
      <c r="AS15" s="32">
        <f>467527*8</f>
        <v>3740216</v>
      </c>
      <c r="AT15" s="32"/>
      <c r="AU15" s="40">
        <v>0</v>
      </c>
      <c r="AV15" s="37"/>
      <c r="AW15" s="32">
        <f>AW29</f>
        <v>58820</v>
      </c>
      <c r="AX15" s="32"/>
      <c r="AY15" s="34">
        <f>(467527*9)-355000</f>
        <v>3852743</v>
      </c>
      <c r="AZ15" s="32"/>
      <c r="BA15" s="40">
        <v>0</v>
      </c>
      <c r="BB15" s="37"/>
      <c r="BC15" s="32">
        <f>BC29</f>
        <v>66860</v>
      </c>
      <c r="BD15" s="32"/>
      <c r="BE15" s="34">
        <f>(467527*10)-355000</f>
        <v>4320270</v>
      </c>
      <c r="BF15" s="32"/>
      <c r="BG15" s="40">
        <v>0</v>
      </c>
      <c r="BH15" s="37"/>
      <c r="BI15" s="32">
        <f>BI29</f>
        <v>74900</v>
      </c>
      <c r="BJ15" s="32"/>
      <c r="BK15" s="34">
        <f>(467527*11)-355000</f>
        <v>4787797</v>
      </c>
      <c r="BL15" s="32"/>
      <c r="BM15" s="40">
        <v>0</v>
      </c>
      <c r="BN15" s="37"/>
      <c r="BO15" s="32">
        <f>BO29</f>
        <v>82940</v>
      </c>
      <c r="BP15" s="32"/>
      <c r="BQ15" s="34">
        <f>(467527*12)-4-355000</f>
        <v>5255320</v>
      </c>
      <c r="BR15" s="32"/>
      <c r="BS15" s="40">
        <v>0</v>
      </c>
      <c r="BT15" s="37"/>
      <c r="BU15" s="32">
        <f>BU29</f>
        <v>90000</v>
      </c>
      <c r="BV15" s="32"/>
      <c r="BW15" s="34">
        <f t="shared" si="0"/>
        <v>5255320</v>
      </c>
      <c r="BX15" s="32">
        <f t="shared" si="1"/>
        <v>0</v>
      </c>
      <c r="BY15" s="36">
        <f t="shared" si="2"/>
        <v>90000</v>
      </c>
    </row>
    <row r="16" spans="1:77" s="39" customFormat="1" ht="15" thickBot="1" thickTop="1">
      <c r="A16" s="24" t="s">
        <v>48</v>
      </c>
      <c r="B16" s="29" t="s">
        <v>49</v>
      </c>
      <c r="C16" s="32">
        <f>10088128/12</f>
        <v>840677.3333333334</v>
      </c>
      <c r="D16" s="33"/>
      <c r="E16" s="41"/>
      <c r="F16" s="42"/>
      <c r="G16" s="43"/>
      <c r="H16" s="32">
        <v>1</v>
      </c>
      <c r="I16" s="32">
        <f>840677*2</f>
        <v>1681354</v>
      </c>
      <c r="J16" s="32">
        <v>1</v>
      </c>
      <c r="K16" s="40">
        <v>0</v>
      </c>
      <c r="L16" s="32"/>
      <c r="M16" s="32">
        <v>0</v>
      </c>
      <c r="N16" s="32"/>
      <c r="O16" s="32">
        <f>840677*3</f>
        <v>2522031</v>
      </c>
      <c r="P16" s="32"/>
      <c r="Q16" s="44">
        <v>10000</v>
      </c>
      <c r="R16" s="32"/>
      <c r="S16" s="32">
        <f>S33</f>
        <v>0</v>
      </c>
      <c r="T16" s="32"/>
      <c r="U16" s="32">
        <f>840677*4</f>
        <v>3362708</v>
      </c>
      <c r="V16" s="32"/>
      <c r="W16" s="44">
        <v>10000</v>
      </c>
      <c r="X16" s="32"/>
      <c r="Y16" s="32">
        <f>Y33</f>
        <v>0</v>
      </c>
      <c r="Z16" s="32"/>
      <c r="AA16" s="32">
        <f>840677*5</f>
        <v>4203385</v>
      </c>
      <c r="AB16" s="32"/>
      <c r="AC16" s="44">
        <v>10000</v>
      </c>
      <c r="AD16" s="32"/>
      <c r="AE16" s="32">
        <f>AE33</f>
        <v>0</v>
      </c>
      <c r="AF16" s="32"/>
      <c r="AG16" s="32">
        <f>840677*6</f>
        <v>5044062</v>
      </c>
      <c r="AH16" s="32"/>
      <c r="AI16" s="44">
        <v>10000</v>
      </c>
      <c r="AJ16" s="32"/>
      <c r="AK16" s="32">
        <f>AK33</f>
        <v>0</v>
      </c>
      <c r="AL16" s="32"/>
      <c r="AM16" s="32">
        <f>840677*7</f>
        <v>5884739</v>
      </c>
      <c r="AN16" s="32"/>
      <c r="AO16" s="44">
        <v>10000</v>
      </c>
      <c r="AP16" s="32"/>
      <c r="AQ16" s="32">
        <f>AQ33</f>
        <v>0</v>
      </c>
      <c r="AR16" s="32"/>
      <c r="AS16" s="32">
        <f>840677*8</f>
        <v>6725416</v>
      </c>
      <c r="AT16" s="32"/>
      <c r="AU16" s="44">
        <v>10000</v>
      </c>
      <c r="AV16" s="32"/>
      <c r="AW16" s="32">
        <f>AW33</f>
        <v>0</v>
      </c>
      <c r="AX16" s="32"/>
      <c r="AY16" s="34">
        <f>(840677*9)-322000</f>
        <v>7244093</v>
      </c>
      <c r="AZ16" s="32"/>
      <c r="BA16" s="45">
        <v>3892</v>
      </c>
      <c r="BB16" s="32"/>
      <c r="BC16" s="32">
        <f>BC33</f>
        <v>4639336</v>
      </c>
      <c r="BD16" s="32"/>
      <c r="BE16" s="34">
        <f>(840677*10)-322000</f>
        <v>8084770</v>
      </c>
      <c r="BF16" s="32"/>
      <c r="BG16" s="45">
        <v>3892</v>
      </c>
      <c r="BH16" s="32"/>
      <c r="BI16" s="32">
        <f>BI33</f>
        <v>6000000</v>
      </c>
      <c r="BJ16" s="32"/>
      <c r="BK16" s="34">
        <f>(840677*11)-322000</f>
        <v>8925447</v>
      </c>
      <c r="BL16" s="32"/>
      <c r="BM16" s="45">
        <v>3892</v>
      </c>
      <c r="BN16" s="32"/>
      <c r="BO16" s="32">
        <f>BO33</f>
        <v>6500000</v>
      </c>
      <c r="BP16" s="32"/>
      <c r="BQ16" s="34">
        <f>(840677*12)+4-322000</f>
        <v>9766128</v>
      </c>
      <c r="BR16" s="32"/>
      <c r="BS16" s="45">
        <v>3892</v>
      </c>
      <c r="BT16" s="32"/>
      <c r="BU16" s="32">
        <f>BU33</f>
        <v>6959000</v>
      </c>
      <c r="BV16" s="32"/>
      <c r="BW16" s="34">
        <f t="shared" si="0"/>
        <v>9766128</v>
      </c>
      <c r="BX16" s="34">
        <f t="shared" si="1"/>
        <v>3892</v>
      </c>
      <c r="BY16" s="36">
        <f t="shared" si="2"/>
        <v>6959000</v>
      </c>
    </row>
    <row r="17" spans="1:77" s="39" customFormat="1" ht="15" thickBot="1" thickTop="1">
      <c r="A17" s="24" t="s">
        <v>50</v>
      </c>
      <c r="B17" s="29" t="s">
        <v>51</v>
      </c>
      <c r="C17" s="32">
        <f>3062705/12</f>
        <v>255225.41666666666</v>
      </c>
      <c r="D17" s="33"/>
      <c r="E17" s="32">
        <v>0</v>
      </c>
      <c r="F17" s="32"/>
      <c r="G17" s="32">
        <v>0</v>
      </c>
      <c r="H17" s="32">
        <v>1</v>
      </c>
      <c r="I17" s="32">
        <v>0</v>
      </c>
      <c r="J17" s="32"/>
      <c r="K17" s="32">
        <v>0</v>
      </c>
      <c r="L17" s="32">
        <v>1</v>
      </c>
      <c r="M17" s="33">
        <v>270000</v>
      </c>
      <c r="N17" s="32"/>
      <c r="O17" s="32">
        <f>255225*3</f>
        <v>765675</v>
      </c>
      <c r="P17" s="32"/>
      <c r="Q17" s="32">
        <v>0</v>
      </c>
      <c r="R17" s="32"/>
      <c r="S17" s="32">
        <f>S24+S26</f>
        <v>420000</v>
      </c>
      <c r="T17" s="32"/>
      <c r="U17" s="32">
        <f>255225*4</f>
        <v>1020900</v>
      </c>
      <c r="V17" s="46"/>
      <c r="W17" s="32">
        <v>0</v>
      </c>
      <c r="X17" s="32"/>
      <c r="Y17" s="32">
        <f>Y24+Y26</f>
        <v>580000</v>
      </c>
      <c r="Z17" s="32"/>
      <c r="AA17" s="32">
        <f>255225*5</f>
        <v>1276125</v>
      </c>
      <c r="AB17" s="32"/>
      <c r="AC17" s="32">
        <v>0</v>
      </c>
      <c r="AD17" s="32"/>
      <c r="AE17" s="32">
        <f>AE24+AE26</f>
        <v>758300</v>
      </c>
      <c r="AF17" s="32"/>
      <c r="AG17" s="32">
        <f>255225*6</f>
        <v>1531350</v>
      </c>
      <c r="AH17" s="32"/>
      <c r="AI17" s="32">
        <v>0</v>
      </c>
      <c r="AJ17" s="32"/>
      <c r="AK17" s="32">
        <f>AK24+AK26</f>
        <v>978300</v>
      </c>
      <c r="AL17" s="32"/>
      <c r="AM17" s="32">
        <f>255225*7</f>
        <v>1786575</v>
      </c>
      <c r="AN17" s="32"/>
      <c r="AO17" s="32">
        <v>0</v>
      </c>
      <c r="AP17" s="32"/>
      <c r="AQ17" s="32">
        <f>AQ24+AQ26</f>
        <v>1118300</v>
      </c>
      <c r="AR17" s="32"/>
      <c r="AS17" s="32">
        <f>255225*8</f>
        <v>2041800</v>
      </c>
      <c r="AT17" s="32"/>
      <c r="AU17" s="32">
        <v>0</v>
      </c>
      <c r="AV17" s="32"/>
      <c r="AW17" s="32">
        <f>AW24+AW26</f>
        <v>1248300</v>
      </c>
      <c r="AX17" s="32"/>
      <c r="AY17" s="34">
        <f>(255225*9)-95200</f>
        <v>2201825</v>
      </c>
      <c r="AZ17" s="32"/>
      <c r="BA17" s="32">
        <v>0</v>
      </c>
      <c r="BB17" s="32"/>
      <c r="BC17" s="32">
        <f>BC24+BC26</f>
        <v>1293100</v>
      </c>
      <c r="BD17" s="32"/>
      <c r="BE17" s="34">
        <f>(255225*10)-(95200*2)</f>
        <v>2361850</v>
      </c>
      <c r="BF17" s="32"/>
      <c r="BG17" s="32">
        <v>0</v>
      </c>
      <c r="BH17" s="32"/>
      <c r="BI17" s="32">
        <f>BI24+BI26</f>
        <v>1327900</v>
      </c>
      <c r="BJ17" s="32"/>
      <c r="BK17" s="34">
        <f>(255225*11)-(95200*3)</f>
        <v>2521875</v>
      </c>
      <c r="BL17" s="32"/>
      <c r="BM17" s="32">
        <v>0</v>
      </c>
      <c r="BN17" s="32"/>
      <c r="BO17" s="32">
        <f>BO24+BO26</f>
        <v>1372700</v>
      </c>
      <c r="BP17" s="32"/>
      <c r="BQ17" s="34">
        <f>(255225*12)+5-(95200*4)</f>
        <v>2681905</v>
      </c>
      <c r="BR17" s="32"/>
      <c r="BS17" s="32">
        <v>0</v>
      </c>
      <c r="BT17" s="32"/>
      <c r="BU17" s="32">
        <f>BU24+BU26</f>
        <v>1427500</v>
      </c>
      <c r="BV17" s="32"/>
      <c r="BW17" s="34">
        <f t="shared" si="0"/>
        <v>2681905</v>
      </c>
      <c r="BX17" s="32">
        <f t="shared" si="1"/>
        <v>0</v>
      </c>
      <c r="BY17" s="36">
        <f t="shared" si="2"/>
        <v>1427500</v>
      </c>
    </row>
    <row r="18" spans="1:77" s="54" customFormat="1" ht="15" thickBot="1" thickTop="1">
      <c r="A18" s="47"/>
      <c r="B18" s="48" t="s">
        <v>52</v>
      </c>
      <c r="C18" s="49">
        <f>SUM(BQ18/12)</f>
        <v>4867074.75</v>
      </c>
      <c r="D18" s="50"/>
      <c r="E18" s="51">
        <f>SUM(E7:E17)</f>
        <v>5210000</v>
      </c>
      <c r="F18" s="51"/>
      <c r="G18" s="51">
        <f>SUM(G7:G17)</f>
        <v>23651202</v>
      </c>
      <c r="H18" s="51"/>
      <c r="I18" s="52">
        <f>SUM(I7:I17)</f>
        <v>9409794.5</v>
      </c>
      <c r="J18" s="51"/>
      <c r="K18" s="51">
        <f>SUM(K7:K17)</f>
        <v>5755000</v>
      </c>
      <c r="L18" s="51"/>
      <c r="M18" s="51">
        <f>SUM(M7:M17)</f>
        <v>24476202</v>
      </c>
      <c r="N18" s="51"/>
      <c r="O18" s="52">
        <f>SUM(O7:O17)</f>
        <v>14995366.75</v>
      </c>
      <c r="P18" s="51"/>
      <c r="Q18" s="51">
        <f>SUM(Q7:Q17)</f>
        <v>7205000</v>
      </c>
      <c r="R18" s="51"/>
      <c r="S18" s="51">
        <f>SUM(S7:S17)</f>
        <v>25137702</v>
      </c>
      <c r="T18" s="51"/>
      <c r="U18" s="52">
        <f>SUM(U7:U17)</f>
        <v>20245489</v>
      </c>
      <c r="V18" s="51"/>
      <c r="W18" s="51">
        <f>SUM(W7:W17)</f>
        <v>7885000</v>
      </c>
      <c r="X18" s="51"/>
      <c r="Y18" s="51">
        <f>SUM(Y7:Y17)</f>
        <v>25756702</v>
      </c>
      <c r="Z18" s="51"/>
      <c r="AA18" s="52">
        <f>SUM(AA7:AA17)</f>
        <v>25175611.25</v>
      </c>
      <c r="AB18" s="51"/>
      <c r="AC18" s="51">
        <f>SUM(AC7:AC17)</f>
        <v>9670000</v>
      </c>
      <c r="AD18" s="51"/>
      <c r="AE18" s="51">
        <f>SUM(AE7:AE17)</f>
        <v>43870528</v>
      </c>
      <c r="AF18" s="51"/>
      <c r="AG18" s="52">
        <f>SUM(AG7:AG17)</f>
        <v>30335733.5</v>
      </c>
      <c r="AH18" s="51"/>
      <c r="AI18" s="51">
        <f>SUM(AI7:AI17)</f>
        <v>12140000</v>
      </c>
      <c r="AJ18" s="51"/>
      <c r="AK18" s="51">
        <f>SUM(AK7:AK17)</f>
        <v>44499528</v>
      </c>
      <c r="AL18" s="51"/>
      <c r="AM18" s="52">
        <f>SUM(AM7:AM17)</f>
        <v>35460855.75</v>
      </c>
      <c r="AN18" s="51"/>
      <c r="AO18" s="51">
        <f>SUM(AO7:AO17)</f>
        <v>13340000</v>
      </c>
      <c r="AP18" s="51"/>
      <c r="AQ18" s="51">
        <f>SUM(AQ7:AQ17)</f>
        <v>44998528</v>
      </c>
      <c r="AR18" s="51"/>
      <c r="AS18" s="52">
        <f>SUM(AS7:AS17)</f>
        <v>40672089</v>
      </c>
      <c r="AT18" s="51"/>
      <c r="AU18" s="51">
        <f>SUM(AU7:AU17)</f>
        <v>14130000</v>
      </c>
      <c r="AV18" s="51"/>
      <c r="AW18" s="51">
        <f>SUM(AW7:AW17)</f>
        <v>73585800</v>
      </c>
      <c r="AX18" s="51"/>
      <c r="AY18" s="52">
        <f>SUM(AY7:AY17)</f>
        <v>43335118.25</v>
      </c>
      <c r="AZ18" s="51"/>
      <c r="BA18" s="51">
        <f>SUM(BA7:BA17)</f>
        <v>14873892</v>
      </c>
      <c r="BB18" s="51"/>
      <c r="BC18" s="51">
        <f>SUM(BC7:BC17)</f>
        <v>80833299</v>
      </c>
      <c r="BD18" s="51"/>
      <c r="BE18" s="52">
        <f>SUM(BE7:BE17)</f>
        <v>48405040.5</v>
      </c>
      <c r="BF18" s="51"/>
      <c r="BG18" s="51">
        <f>SUM(BG7:BG17)</f>
        <v>15223892</v>
      </c>
      <c r="BH18" s="51"/>
      <c r="BI18" s="51">
        <f>SUM(BI7:BI17)</f>
        <v>82919763</v>
      </c>
      <c r="BJ18" s="51"/>
      <c r="BK18" s="52">
        <f>SUM(BK7:BK17)</f>
        <v>53314962.75</v>
      </c>
      <c r="BL18" s="51"/>
      <c r="BM18" s="51">
        <f>SUM(BM7:BM17)</f>
        <v>20480892</v>
      </c>
      <c r="BN18" s="51"/>
      <c r="BO18" s="51">
        <f>SUM(BO7:BO17)</f>
        <v>84023563</v>
      </c>
      <c r="BP18" s="51"/>
      <c r="BQ18" s="52">
        <f>SUM(BQ7:BQ17)</f>
        <v>58404897</v>
      </c>
      <c r="BR18" s="51"/>
      <c r="BS18" s="51">
        <f>SUM(BS7:BS17)</f>
        <v>25997383</v>
      </c>
      <c r="BT18" s="51"/>
      <c r="BU18" s="51">
        <f>SUM(BU7:BU17)</f>
        <v>84952363</v>
      </c>
      <c r="BV18" s="51"/>
      <c r="BW18" s="51">
        <f>SUM(BW7:BW17)</f>
        <v>58404897</v>
      </c>
      <c r="BX18" s="49">
        <f>SUM(BX7:BX17)</f>
        <v>25997383</v>
      </c>
      <c r="BY18" s="53">
        <f>SUM(BY7:BY17)</f>
        <v>84952363</v>
      </c>
    </row>
    <row r="19" spans="1:77" s="62" customFormat="1" ht="15" thickBot="1" thickTop="1">
      <c r="A19" s="55"/>
      <c r="B19" s="56"/>
      <c r="C19" s="57">
        <f>C18+E18</f>
        <v>10077074.75</v>
      </c>
      <c r="D19" s="58"/>
      <c r="E19" s="59"/>
      <c r="F19" s="60"/>
      <c r="G19" s="52">
        <f>G40</f>
        <v>23781202</v>
      </c>
      <c r="H19" s="60"/>
      <c r="I19" s="57">
        <f>I18+K18</f>
        <v>15164794.5</v>
      </c>
      <c r="J19" s="61"/>
      <c r="K19" s="59"/>
      <c r="L19" s="60"/>
      <c r="M19" s="52">
        <f>M40</f>
        <v>24476202</v>
      </c>
      <c r="N19" s="60"/>
      <c r="O19" s="57">
        <f>O18+Q18</f>
        <v>22200366.75</v>
      </c>
      <c r="P19" s="61"/>
      <c r="Q19" s="59"/>
      <c r="R19" s="60"/>
      <c r="S19" s="52">
        <f>S40</f>
        <v>25137702</v>
      </c>
      <c r="T19" s="60"/>
      <c r="U19" s="57">
        <f>U18+W18</f>
        <v>28130489</v>
      </c>
      <c r="V19" s="61"/>
      <c r="W19" s="59"/>
      <c r="X19" s="60"/>
      <c r="Y19" s="52">
        <f>Y40</f>
        <v>25756702</v>
      </c>
      <c r="Z19" s="60"/>
      <c r="AA19" s="57">
        <f>AA18+AC18</f>
        <v>34845611.25</v>
      </c>
      <c r="AB19" s="61"/>
      <c r="AC19" s="59"/>
      <c r="AD19" s="60"/>
      <c r="AE19" s="52">
        <f>AE40</f>
        <v>43870528</v>
      </c>
      <c r="AF19" s="60"/>
      <c r="AG19" s="57">
        <f>AG18+AI18</f>
        <v>42475733.5</v>
      </c>
      <c r="AH19" s="61"/>
      <c r="AI19" s="59"/>
      <c r="AJ19" s="60"/>
      <c r="AK19" s="52">
        <f>AK40</f>
        <v>44499528</v>
      </c>
      <c r="AL19" s="60"/>
      <c r="AM19" s="57">
        <f>AM18+AO18</f>
        <v>48800855.75</v>
      </c>
      <c r="AN19" s="61"/>
      <c r="AO19" s="59"/>
      <c r="AP19" s="60"/>
      <c r="AQ19" s="52">
        <f>AQ40</f>
        <v>44998528</v>
      </c>
      <c r="AR19" s="60"/>
      <c r="AS19" s="57">
        <f>AS18+AU18</f>
        <v>54802089</v>
      </c>
      <c r="AT19" s="61"/>
      <c r="AU19" s="59"/>
      <c r="AV19" s="60"/>
      <c r="AW19" s="52">
        <f>AW40</f>
        <v>73585800</v>
      </c>
      <c r="AX19" s="60"/>
      <c r="AY19" s="57">
        <f>AY18+BA18</f>
        <v>58209010.25</v>
      </c>
      <c r="AZ19" s="61"/>
      <c r="BA19" s="59"/>
      <c r="BB19" s="60"/>
      <c r="BC19" s="52">
        <f>BC40</f>
        <v>80833299</v>
      </c>
      <c r="BD19" s="60"/>
      <c r="BE19" s="57">
        <f>BE18+BG18</f>
        <v>63628932.5</v>
      </c>
      <c r="BF19" s="61"/>
      <c r="BG19" s="59"/>
      <c r="BH19" s="60"/>
      <c r="BI19" s="52">
        <f>BI40</f>
        <v>82919763</v>
      </c>
      <c r="BJ19" s="60"/>
      <c r="BK19" s="57">
        <f>BK18+BM18</f>
        <v>73795854.75</v>
      </c>
      <c r="BL19" s="61"/>
      <c r="BM19" s="59"/>
      <c r="BN19" s="60"/>
      <c r="BO19" s="52">
        <f>BO40</f>
        <v>84023563</v>
      </c>
      <c r="BP19" s="60"/>
      <c r="BQ19" s="57">
        <f>BQ18+BS18</f>
        <v>84402280</v>
      </c>
      <c r="BR19" s="61"/>
      <c r="BS19" s="59"/>
      <c r="BT19" s="60"/>
      <c r="BU19" s="52">
        <f>BU40</f>
        <v>84952363</v>
      </c>
      <c r="BV19" s="60"/>
      <c r="BW19" s="57">
        <f>BW18+BX18</f>
        <v>84402280</v>
      </c>
      <c r="BX19" s="59"/>
      <c r="BY19" s="52">
        <f>BY40</f>
        <v>84952363</v>
      </c>
    </row>
    <row r="20" spans="1:77" s="16" customFormat="1" ht="15" thickBot="1" thickTop="1">
      <c r="A20" s="17"/>
      <c r="B20" s="25" t="s">
        <v>53</v>
      </c>
      <c r="C20" s="12" t="s">
        <v>2</v>
      </c>
      <c r="D20" s="63"/>
      <c r="E20" s="11"/>
      <c r="F20" s="11"/>
      <c r="G20" s="11"/>
      <c r="H20" s="11"/>
      <c r="I20" s="12" t="s">
        <v>3</v>
      </c>
      <c r="J20" s="12"/>
      <c r="K20" s="12"/>
      <c r="L20" s="12"/>
      <c r="M20" s="12"/>
      <c r="N20" s="12"/>
      <c r="O20" s="12" t="s">
        <v>4</v>
      </c>
      <c r="P20" s="12"/>
      <c r="Q20" s="12"/>
      <c r="R20" s="12"/>
      <c r="S20" s="12"/>
      <c r="T20" s="12"/>
      <c r="U20" s="13" t="s">
        <v>5</v>
      </c>
      <c r="V20" s="14"/>
      <c r="W20" s="14"/>
      <c r="X20" s="14"/>
      <c r="Y20" s="14"/>
      <c r="Z20" s="15"/>
      <c r="AA20" s="13" t="s">
        <v>6</v>
      </c>
      <c r="AB20" s="14"/>
      <c r="AC20" s="14"/>
      <c r="AD20" s="14"/>
      <c r="AE20" s="14"/>
      <c r="AF20" s="15"/>
      <c r="AG20" s="13" t="s">
        <v>7</v>
      </c>
      <c r="AH20" s="14"/>
      <c r="AI20" s="14"/>
      <c r="AJ20" s="14"/>
      <c r="AK20" s="14"/>
      <c r="AL20" s="15"/>
      <c r="AM20" s="13" t="s">
        <v>8</v>
      </c>
      <c r="AN20" s="14"/>
      <c r="AO20" s="14"/>
      <c r="AP20" s="14"/>
      <c r="AQ20" s="14"/>
      <c r="AR20" s="15"/>
      <c r="AS20" s="13" t="s">
        <v>9</v>
      </c>
      <c r="AT20" s="14"/>
      <c r="AU20" s="14"/>
      <c r="AV20" s="14"/>
      <c r="AW20" s="14"/>
      <c r="AX20" s="15"/>
      <c r="AY20" s="13" t="s">
        <v>10</v>
      </c>
      <c r="AZ20" s="14"/>
      <c r="BA20" s="14"/>
      <c r="BB20" s="14"/>
      <c r="BC20" s="14"/>
      <c r="BD20" s="15"/>
      <c r="BE20" s="13" t="s">
        <v>11</v>
      </c>
      <c r="BF20" s="14"/>
      <c r="BG20" s="14"/>
      <c r="BH20" s="14"/>
      <c r="BI20" s="14"/>
      <c r="BJ20" s="15"/>
      <c r="BK20" s="13" t="s">
        <v>12</v>
      </c>
      <c r="BL20" s="14"/>
      <c r="BM20" s="14"/>
      <c r="BN20" s="14"/>
      <c r="BO20" s="14"/>
      <c r="BP20" s="15"/>
      <c r="BQ20" s="13" t="s">
        <v>13</v>
      </c>
      <c r="BR20" s="14"/>
      <c r="BS20" s="14"/>
      <c r="BT20" s="14"/>
      <c r="BU20" s="14"/>
      <c r="BV20" s="15"/>
      <c r="BW20" s="13" t="s">
        <v>54</v>
      </c>
      <c r="BX20" s="14"/>
      <c r="BY20" s="15"/>
    </row>
    <row r="21" spans="1:77" s="16" customFormat="1" ht="14.25" thickBot="1" thickTop="1">
      <c r="A21" s="17"/>
      <c r="B21" s="9"/>
      <c r="C21" s="12">
        <v>2008</v>
      </c>
      <c r="D21" s="12"/>
      <c r="E21" s="12"/>
      <c r="F21" s="12"/>
      <c r="G21" s="12"/>
      <c r="H21" s="12"/>
      <c r="I21" s="12">
        <v>2008</v>
      </c>
      <c r="J21" s="12"/>
      <c r="K21" s="12"/>
      <c r="L21" s="12"/>
      <c r="M21" s="12"/>
      <c r="N21" s="12"/>
      <c r="O21" s="12">
        <v>2008</v>
      </c>
      <c r="P21" s="12"/>
      <c r="Q21" s="12"/>
      <c r="R21" s="12"/>
      <c r="S21" s="12"/>
      <c r="T21" s="12"/>
      <c r="U21" s="12">
        <v>2008</v>
      </c>
      <c r="V21" s="12"/>
      <c r="W21" s="12"/>
      <c r="X21" s="12"/>
      <c r="Y21" s="12"/>
      <c r="Z21" s="12"/>
      <c r="AA21" s="12">
        <v>2008</v>
      </c>
      <c r="AB21" s="12"/>
      <c r="AC21" s="12"/>
      <c r="AD21" s="12"/>
      <c r="AE21" s="12"/>
      <c r="AF21" s="12"/>
      <c r="AG21" s="12">
        <v>2008</v>
      </c>
      <c r="AH21" s="12"/>
      <c r="AI21" s="12"/>
      <c r="AJ21" s="12"/>
      <c r="AK21" s="12"/>
      <c r="AL21" s="12"/>
      <c r="AM21" s="13">
        <v>2009</v>
      </c>
      <c r="AN21" s="14"/>
      <c r="AO21" s="14"/>
      <c r="AP21" s="14"/>
      <c r="AQ21" s="14"/>
      <c r="AR21" s="15"/>
      <c r="AS21" s="13">
        <v>2009</v>
      </c>
      <c r="AT21" s="14"/>
      <c r="AU21" s="14"/>
      <c r="AV21" s="14"/>
      <c r="AW21" s="14"/>
      <c r="AX21" s="15"/>
      <c r="AY21" s="13">
        <v>2009</v>
      </c>
      <c r="AZ21" s="14"/>
      <c r="BA21" s="14"/>
      <c r="BB21" s="14"/>
      <c r="BC21" s="14"/>
      <c r="BD21" s="15"/>
      <c r="BE21" s="13">
        <v>2009</v>
      </c>
      <c r="BF21" s="14"/>
      <c r="BG21" s="14"/>
      <c r="BH21" s="14"/>
      <c r="BI21" s="14"/>
      <c r="BJ21" s="15"/>
      <c r="BK21" s="13">
        <v>2009</v>
      </c>
      <c r="BL21" s="14"/>
      <c r="BM21" s="14"/>
      <c r="BN21" s="14"/>
      <c r="BO21" s="14"/>
      <c r="BP21" s="15"/>
      <c r="BQ21" s="13">
        <v>2009</v>
      </c>
      <c r="BR21" s="14"/>
      <c r="BS21" s="14"/>
      <c r="BT21" s="14"/>
      <c r="BU21" s="14"/>
      <c r="BV21" s="15"/>
      <c r="BW21" s="18"/>
      <c r="BX21" s="19" t="s">
        <v>15</v>
      </c>
      <c r="BY21" s="19"/>
    </row>
    <row r="22" spans="1:77" s="16" customFormat="1" ht="14.25" thickBot="1" thickTop="1">
      <c r="A22" s="17"/>
      <c r="B22" s="9"/>
      <c r="C22" s="20"/>
      <c r="D22" s="20"/>
      <c r="E22" s="20"/>
      <c r="F22" s="20"/>
      <c r="G22" s="20" t="s">
        <v>20</v>
      </c>
      <c r="H22" s="20" t="s">
        <v>21</v>
      </c>
      <c r="I22" s="20"/>
      <c r="J22" s="20"/>
      <c r="K22" s="20"/>
      <c r="L22" s="20"/>
      <c r="M22" s="20" t="s">
        <v>20</v>
      </c>
      <c r="N22" s="20" t="s">
        <v>21</v>
      </c>
      <c r="O22" s="20"/>
      <c r="P22" s="20"/>
      <c r="Q22" s="20"/>
      <c r="R22" s="20"/>
      <c r="S22" s="20" t="s">
        <v>20</v>
      </c>
      <c r="T22" s="20" t="s">
        <v>21</v>
      </c>
      <c r="U22" s="20" t="s">
        <v>16</v>
      </c>
      <c r="V22" s="20" t="s">
        <v>17</v>
      </c>
      <c r="W22" s="20" t="s">
        <v>55</v>
      </c>
      <c r="X22" s="20" t="s">
        <v>19</v>
      </c>
      <c r="Y22" s="20" t="s">
        <v>20</v>
      </c>
      <c r="Z22" s="20" t="s">
        <v>21</v>
      </c>
      <c r="AA22" s="20" t="s">
        <v>16</v>
      </c>
      <c r="AB22" s="20" t="s">
        <v>17</v>
      </c>
      <c r="AC22" s="20" t="s">
        <v>55</v>
      </c>
      <c r="AD22" s="20" t="s">
        <v>19</v>
      </c>
      <c r="AE22" s="20" t="s">
        <v>20</v>
      </c>
      <c r="AF22" s="20" t="s">
        <v>21</v>
      </c>
      <c r="AG22" s="20" t="s">
        <v>16</v>
      </c>
      <c r="AH22" s="20" t="s">
        <v>17</v>
      </c>
      <c r="AI22" s="20" t="s">
        <v>55</v>
      </c>
      <c r="AJ22" s="20" t="s">
        <v>19</v>
      </c>
      <c r="AK22" s="20" t="s">
        <v>20</v>
      </c>
      <c r="AL22" s="20" t="s">
        <v>21</v>
      </c>
      <c r="AM22" s="20" t="s">
        <v>16</v>
      </c>
      <c r="AN22" s="20" t="s">
        <v>17</v>
      </c>
      <c r="AO22" s="20" t="s">
        <v>55</v>
      </c>
      <c r="AP22" s="20" t="s">
        <v>19</v>
      </c>
      <c r="AQ22" s="20" t="s">
        <v>20</v>
      </c>
      <c r="AR22" s="20" t="s">
        <v>21</v>
      </c>
      <c r="AS22" s="20" t="s">
        <v>16</v>
      </c>
      <c r="AT22" s="20" t="s">
        <v>17</v>
      </c>
      <c r="AU22" s="20" t="s">
        <v>55</v>
      </c>
      <c r="AV22" s="20" t="s">
        <v>19</v>
      </c>
      <c r="AW22" s="20" t="s">
        <v>20</v>
      </c>
      <c r="AX22" s="20" t="s">
        <v>21</v>
      </c>
      <c r="AY22" s="20" t="s">
        <v>16</v>
      </c>
      <c r="AZ22" s="20" t="s">
        <v>17</v>
      </c>
      <c r="BA22" s="20" t="s">
        <v>55</v>
      </c>
      <c r="BB22" s="20" t="s">
        <v>19</v>
      </c>
      <c r="BC22" s="20" t="s">
        <v>20</v>
      </c>
      <c r="BD22" s="20" t="s">
        <v>21</v>
      </c>
      <c r="BE22" s="20" t="s">
        <v>16</v>
      </c>
      <c r="BF22" s="20" t="s">
        <v>17</v>
      </c>
      <c r="BG22" s="20" t="s">
        <v>55</v>
      </c>
      <c r="BH22" s="20" t="s">
        <v>19</v>
      </c>
      <c r="BI22" s="20" t="s">
        <v>20</v>
      </c>
      <c r="BJ22" s="20" t="s">
        <v>21</v>
      </c>
      <c r="BK22" s="20" t="s">
        <v>16</v>
      </c>
      <c r="BL22" s="20" t="s">
        <v>17</v>
      </c>
      <c r="BM22" s="20" t="s">
        <v>55</v>
      </c>
      <c r="BN22" s="20" t="s">
        <v>19</v>
      </c>
      <c r="BO22" s="20" t="s">
        <v>20</v>
      </c>
      <c r="BP22" s="20" t="s">
        <v>21</v>
      </c>
      <c r="BQ22" s="20" t="s">
        <v>16</v>
      </c>
      <c r="BR22" s="20" t="s">
        <v>17</v>
      </c>
      <c r="BS22" s="20" t="s">
        <v>55</v>
      </c>
      <c r="BT22" s="20" t="s">
        <v>19</v>
      </c>
      <c r="BU22" s="20" t="s">
        <v>20</v>
      </c>
      <c r="BV22" s="20" t="s">
        <v>21</v>
      </c>
      <c r="BW22" s="21" t="s">
        <v>22</v>
      </c>
      <c r="BX22" s="20" t="s">
        <v>56</v>
      </c>
      <c r="BY22" s="20" t="s">
        <v>24</v>
      </c>
    </row>
    <row r="23" spans="1:81" s="39" customFormat="1" ht="15" thickBot="1" thickTop="1">
      <c r="A23" s="24" t="s">
        <v>25</v>
      </c>
      <c r="B23" s="29" t="s">
        <v>26</v>
      </c>
      <c r="C23" s="64"/>
      <c r="D23" s="64"/>
      <c r="E23" s="64"/>
      <c r="F23" s="64"/>
      <c r="G23" s="64" t="s">
        <v>29</v>
      </c>
      <c r="H23" s="64" t="s">
        <v>29</v>
      </c>
      <c r="I23" s="64"/>
      <c r="J23" s="64"/>
      <c r="K23" s="64"/>
      <c r="L23" s="64"/>
      <c r="M23" s="64" t="s">
        <v>29</v>
      </c>
      <c r="N23" s="64" t="s">
        <v>29</v>
      </c>
      <c r="O23" s="64"/>
      <c r="P23" s="64"/>
      <c r="Q23" s="64"/>
      <c r="R23" s="64"/>
      <c r="S23" s="64" t="s">
        <v>29</v>
      </c>
      <c r="T23" s="64" t="s">
        <v>29</v>
      </c>
      <c r="U23" s="64" t="s">
        <v>29</v>
      </c>
      <c r="V23" s="64" t="s">
        <v>29</v>
      </c>
      <c r="W23" s="64" t="s">
        <v>29</v>
      </c>
      <c r="X23" s="64" t="s">
        <v>29</v>
      </c>
      <c r="Y23" s="64" t="s">
        <v>29</v>
      </c>
      <c r="Z23" s="64" t="s">
        <v>29</v>
      </c>
      <c r="AA23" s="64" t="s">
        <v>29</v>
      </c>
      <c r="AB23" s="64" t="s">
        <v>29</v>
      </c>
      <c r="AC23" s="64" t="s">
        <v>29</v>
      </c>
      <c r="AD23" s="64" t="s">
        <v>29</v>
      </c>
      <c r="AE23" s="64" t="s">
        <v>29</v>
      </c>
      <c r="AF23" s="64" t="s">
        <v>29</v>
      </c>
      <c r="AG23" s="64" t="s">
        <v>29</v>
      </c>
      <c r="AH23" s="64" t="s">
        <v>29</v>
      </c>
      <c r="AI23" s="64" t="s">
        <v>29</v>
      </c>
      <c r="AJ23" s="64" t="s">
        <v>29</v>
      </c>
      <c r="AK23" s="64" t="s">
        <v>29</v>
      </c>
      <c r="AL23" s="64" t="s">
        <v>29</v>
      </c>
      <c r="AM23" s="64" t="s">
        <v>29</v>
      </c>
      <c r="AN23" s="64" t="s">
        <v>29</v>
      </c>
      <c r="AO23" s="64" t="s">
        <v>29</v>
      </c>
      <c r="AP23" s="64" t="s">
        <v>29</v>
      </c>
      <c r="AQ23" s="64" t="s">
        <v>29</v>
      </c>
      <c r="AR23" s="64" t="s">
        <v>29</v>
      </c>
      <c r="AS23" s="64" t="s">
        <v>29</v>
      </c>
      <c r="AT23" s="64" t="s">
        <v>29</v>
      </c>
      <c r="AU23" s="64" t="s">
        <v>29</v>
      </c>
      <c r="AV23" s="64" t="s">
        <v>29</v>
      </c>
      <c r="AW23" s="64" t="s">
        <v>29</v>
      </c>
      <c r="AX23" s="64" t="s">
        <v>29</v>
      </c>
      <c r="AY23" s="64" t="s">
        <v>29</v>
      </c>
      <c r="AZ23" s="64" t="s">
        <v>29</v>
      </c>
      <c r="BA23" s="64" t="s">
        <v>29</v>
      </c>
      <c r="BB23" s="64" t="s">
        <v>29</v>
      </c>
      <c r="BC23" s="64" t="s">
        <v>29</v>
      </c>
      <c r="BD23" s="64" t="s">
        <v>29</v>
      </c>
      <c r="BE23" s="64" t="s">
        <v>29</v>
      </c>
      <c r="BF23" s="64" t="s">
        <v>29</v>
      </c>
      <c r="BG23" s="64" t="s">
        <v>29</v>
      </c>
      <c r="BH23" s="64" t="s">
        <v>29</v>
      </c>
      <c r="BI23" s="64" t="s">
        <v>29</v>
      </c>
      <c r="BJ23" s="64" t="s">
        <v>29</v>
      </c>
      <c r="BK23" s="64" t="s">
        <v>29</v>
      </c>
      <c r="BL23" s="64" t="s">
        <v>29</v>
      </c>
      <c r="BM23" s="64" t="s">
        <v>29</v>
      </c>
      <c r="BN23" s="64" t="s">
        <v>29</v>
      </c>
      <c r="BO23" s="64" t="s">
        <v>29</v>
      </c>
      <c r="BP23" s="64" t="s">
        <v>29</v>
      </c>
      <c r="BQ23" s="64" t="s">
        <v>29</v>
      </c>
      <c r="BR23" s="64" t="s">
        <v>29</v>
      </c>
      <c r="BS23" s="64" t="s">
        <v>29</v>
      </c>
      <c r="BT23" s="64" t="s">
        <v>29</v>
      </c>
      <c r="BU23" s="64" t="s">
        <v>29</v>
      </c>
      <c r="BV23" s="64" t="s">
        <v>29</v>
      </c>
      <c r="BW23" s="36" t="s">
        <v>29</v>
      </c>
      <c r="BX23" s="64" t="s">
        <v>30</v>
      </c>
      <c r="BY23" s="65" t="s">
        <v>30</v>
      </c>
      <c r="BZ23" s="54"/>
      <c r="CA23" s="54"/>
      <c r="CB23" s="54"/>
      <c r="CC23" s="54"/>
    </row>
    <row r="24" spans="1:81" s="39" customFormat="1" ht="14.25" thickBot="1" thickTop="1">
      <c r="A24" s="24" t="s">
        <v>50</v>
      </c>
      <c r="B24" s="29" t="s">
        <v>57</v>
      </c>
      <c r="C24" s="36"/>
      <c r="D24" s="36"/>
      <c r="E24" s="36"/>
      <c r="F24" s="36"/>
      <c r="G24" s="36">
        <v>130000</v>
      </c>
      <c r="H24" s="36"/>
      <c r="I24" s="36"/>
      <c r="J24" s="36"/>
      <c r="K24" s="36"/>
      <c r="L24" s="36"/>
      <c r="M24" s="36">
        <f>140000+G24</f>
        <v>270000</v>
      </c>
      <c r="N24" s="36"/>
      <c r="O24" s="36"/>
      <c r="P24" s="36"/>
      <c r="Q24" s="36"/>
      <c r="R24" s="36"/>
      <c r="S24" s="36">
        <f>150000+M24</f>
        <v>420000</v>
      </c>
      <c r="T24" s="36"/>
      <c r="U24" s="36"/>
      <c r="V24" s="36"/>
      <c r="W24" s="36"/>
      <c r="X24" s="36"/>
      <c r="Y24" s="36">
        <f>160000+S24</f>
        <v>580000</v>
      </c>
      <c r="Z24" s="36"/>
      <c r="AA24" s="36"/>
      <c r="AB24" s="36"/>
      <c r="AC24" s="36"/>
      <c r="AD24" s="36"/>
      <c r="AE24" s="36">
        <f>178300+Y24</f>
        <v>758300</v>
      </c>
      <c r="AF24" s="36"/>
      <c r="AG24" s="36"/>
      <c r="AH24" s="36"/>
      <c r="AI24" s="36"/>
      <c r="AJ24" s="36"/>
      <c r="AK24" s="36">
        <f>220000+AE24</f>
        <v>978300</v>
      </c>
      <c r="AL24" s="36"/>
      <c r="AM24" s="36"/>
      <c r="AN24" s="36"/>
      <c r="AO24" s="36"/>
      <c r="AP24" s="36"/>
      <c r="AQ24" s="36">
        <f>140000+AK24</f>
        <v>1118300</v>
      </c>
      <c r="AR24" s="36"/>
      <c r="AS24" s="36"/>
      <c r="AT24" s="36"/>
      <c r="AU24" s="36"/>
      <c r="AV24" s="36"/>
      <c r="AW24" s="36">
        <f>130000+AQ24</f>
        <v>1248300</v>
      </c>
      <c r="AX24" s="36"/>
      <c r="AY24" s="36"/>
      <c r="AZ24" s="36"/>
      <c r="BA24" s="36"/>
      <c r="BB24" s="36"/>
      <c r="BC24" s="66">
        <f>140000+AW24-95200</f>
        <v>1293100</v>
      </c>
      <c r="BD24" s="36"/>
      <c r="BE24" s="36"/>
      <c r="BF24" s="36"/>
      <c r="BG24" s="36"/>
      <c r="BH24" s="36"/>
      <c r="BI24" s="66">
        <f>130000+BC24-95200</f>
        <v>1327900</v>
      </c>
      <c r="BJ24" s="36"/>
      <c r="BK24" s="36"/>
      <c r="BL24" s="36"/>
      <c r="BM24" s="36"/>
      <c r="BN24" s="36"/>
      <c r="BO24" s="66">
        <f>140000+BI24-95200</f>
        <v>1372700</v>
      </c>
      <c r="BP24" s="36"/>
      <c r="BQ24" s="36"/>
      <c r="BR24" s="36"/>
      <c r="BS24" s="36"/>
      <c r="BT24" s="36"/>
      <c r="BU24" s="66">
        <f>150000+BO24-95200</f>
        <v>1427500</v>
      </c>
      <c r="BV24" s="36"/>
      <c r="BW24" s="36"/>
      <c r="BX24" s="36"/>
      <c r="BY24" s="67">
        <f aca="true" t="shared" si="3" ref="BY24:BY39">BU24</f>
        <v>1427500</v>
      </c>
      <c r="BZ24" s="16"/>
      <c r="CA24" s="16"/>
      <c r="CB24" s="16"/>
      <c r="CC24" s="16"/>
    </row>
    <row r="25" spans="1:81" s="39" customFormat="1" ht="14.25" thickBot="1" thickTop="1">
      <c r="A25" s="24" t="s">
        <v>32</v>
      </c>
      <c r="B25" s="29" t="s">
        <v>58</v>
      </c>
      <c r="C25" s="32"/>
      <c r="D25" s="32"/>
      <c r="E25" s="32"/>
      <c r="F25" s="32"/>
      <c r="G25" s="32">
        <v>550000</v>
      </c>
      <c r="H25" s="32"/>
      <c r="I25" s="32"/>
      <c r="J25" s="32"/>
      <c r="K25" s="32"/>
      <c r="L25" s="32"/>
      <c r="M25" s="32">
        <f>550000+G25</f>
        <v>1100000</v>
      </c>
      <c r="N25" s="32"/>
      <c r="O25" s="32"/>
      <c r="P25" s="32"/>
      <c r="Q25" s="32"/>
      <c r="R25" s="32"/>
      <c r="S25" s="32">
        <f>500000+M25</f>
        <v>1600000</v>
      </c>
      <c r="T25" s="32"/>
      <c r="U25" s="32"/>
      <c r="V25" s="32"/>
      <c r="W25" s="32"/>
      <c r="X25" s="32"/>
      <c r="Y25" s="27">
        <f>450000+S25</f>
        <v>2050000</v>
      </c>
      <c r="Z25" s="32"/>
      <c r="AA25" s="32"/>
      <c r="AB25" s="32"/>
      <c r="AC25" s="32"/>
      <c r="AD25" s="32"/>
      <c r="AE25" s="32">
        <f>450000+Y25</f>
        <v>2500000</v>
      </c>
      <c r="AF25" s="32"/>
      <c r="AG25" s="32"/>
      <c r="AH25" s="32"/>
      <c r="AI25" s="37"/>
      <c r="AJ25" s="37"/>
      <c r="AK25" s="32">
        <f>400000+AE25</f>
        <v>2900000</v>
      </c>
      <c r="AL25" s="32"/>
      <c r="AM25" s="32"/>
      <c r="AN25" s="32"/>
      <c r="AO25" s="32"/>
      <c r="AP25" s="32"/>
      <c r="AQ25" s="32">
        <f>350000+AK25</f>
        <v>3250000</v>
      </c>
      <c r="AR25" s="32"/>
      <c r="AS25" s="32"/>
      <c r="AT25" s="32"/>
      <c r="AU25" s="32"/>
      <c r="AV25" s="27"/>
      <c r="AW25" s="32">
        <f>350000+AQ25</f>
        <v>3600000</v>
      </c>
      <c r="AX25" s="32"/>
      <c r="AY25" s="32"/>
      <c r="AZ25" s="32"/>
      <c r="BA25" s="32"/>
      <c r="BB25" s="32"/>
      <c r="BC25" s="34">
        <f>300000+AW25+264785</f>
        <v>4164785</v>
      </c>
      <c r="BD25" s="32"/>
      <c r="BE25" s="32"/>
      <c r="BF25" s="32"/>
      <c r="BG25" s="32"/>
      <c r="BH25" s="32"/>
      <c r="BI25" s="34">
        <f>300000+BC25</f>
        <v>4464785</v>
      </c>
      <c r="BJ25" s="32"/>
      <c r="BK25" s="32"/>
      <c r="BL25" s="32"/>
      <c r="BM25" s="32"/>
      <c r="BN25" s="32"/>
      <c r="BO25" s="34">
        <f>250000+BI25</f>
        <v>4714785</v>
      </c>
      <c r="BP25" s="32"/>
      <c r="BQ25" s="32"/>
      <c r="BR25" s="32"/>
      <c r="BS25" s="32"/>
      <c r="BT25" s="32"/>
      <c r="BU25" s="34">
        <f>250000+BO25</f>
        <v>4964785</v>
      </c>
      <c r="BV25" s="32"/>
      <c r="BW25" s="32"/>
      <c r="BX25" s="32"/>
      <c r="BY25" s="67">
        <f t="shared" si="3"/>
        <v>4964785</v>
      </c>
      <c r="BZ25" s="16"/>
      <c r="CA25" s="16"/>
      <c r="CB25" s="16"/>
      <c r="CC25" s="16"/>
    </row>
    <row r="26" spans="1:81" ht="15" hidden="1" thickBot="1" thickTop="1">
      <c r="A26" s="24" t="s">
        <v>50</v>
      </c>
      <c r="B26" s="29" t="s">
        <v>59</v>
      </c>
      <c r="C26" s="32"/>
      <c r="D26" s="33"/>
      <c r="E26" s="32"/>
      <c r="F26" s="32"/>
      <c r="G26" s="32">
        <v>0</v>
      </c>
      <c r="H26" s="32"/>
      <c r="I26" s="32"/>
      <c r="J26" s="32"/>
      <c r="K26" s="32"/>
      <c r="L26" s="32"/>
      <c r="M26" s="32">
        <v>0</v>
      </c>
      <c r="N26" s="32"/>
      <c r="O26" s="32"/>
      <c r="P26" s="32"/>
      <c r="Q26" s="32"/>
      <c r="R26" s="32"/>
      <c r="S26" s="32">
        <v>0</v>
      </c>
      <c r="T26" s="32"/>
      <c r="U26" s="32"/>
      <c r="V26" s="32"/>
      <c r="W26" s="32"/>
      <c r="X26" s="32"/>
      <c r="Y26" s="32">
        <v>0</v>
      </c>
      <c r="Z26" s="32"/>
      <c r="AA26" s="32"/>
      <c r="AB26" s="32"/>
      <c r="AC26" s="32"/>
      <c r="AD26" s="32"/>
      <c r="AE26" s="32">
        <v>0</v>
      </c>
      <c r="AF26" s="32"/>
      <c r="AG26" s="32"/>
      <c r="AH26" s="32"/>
      <c r="AI26" s="32"/>
      <c r="AJ26" s="32"/>
      <c r="AK26" s="32">
        <v>0</v>
      </c>
      <c r="AL26" s="32"/>
      <c r="AM26" s="32"/>
      <c r="AN26" s="32"/>
      <c r="AO26" s="32"/>
      <c r="AP26" s="32"/>
      <c r="AQ26" s="32">
        <v>0</v>
      </c>
      <c r="AR26" s="32"/>
      <c r="AS26" s="32"/>
      <c r="AT26" s="32"/>
      <c r="AU26" s="32"/>
      <c r="AV26" s="32"/>
      <c r="AW26" s="32">
        <v>0</v>
      </c>
      <c r="AX26" s="32"/>
      <c r="AY26" s="32"/>
      <c r="AZ26" s="32"/>
      <c r="BA26" s="32"/>
      <c r="BB26" s="32"/>
      <c r="BC26" s="32">
        <v>0</v>
      </c>
      <c r="BD26" s="32"/>
      <c r="BE26" s="32"/>
      <c r="BF26" s="32"/>
      <c r="BG26" s="32"/>
      <c r="BH26" s="32"/>
      <c r="BI26" s="32">
        <v>0</v>
      </c>
      <c r="BJ26" s="32"/>
      <c r="BK26" s="32"/>
      <c r="BL26" s="32"/>
      <c r="BM26" s="32"/>
      <c r="BN26" s="32"/>
      <c r="BO26" s="32">
        <v>0</v>
      </c>
      <c r="BP26" s="32"/>
      <c r="BQ26" s="32"/>
      <c r="BR26" s="32"/>
      <c r="BS26" s="32"/>
      <c r="BT26" s="32"/>
      <c r="BU26" s="32">
        <v>0</v>
      </c>
      <c r="BV26" s="32"/>
      <c r="BW26" s="32"/>
      <c r="BX26" s="32"/>
      <c r="BY26" s="68">
        <f t="shared" si="3"/>
        <v>0</v>
      </c>
      <c r="BZ26" s="16"/>
      <c r="CA26" s="16"/>
      <c r="CB26" s="16"/>
      <c r="CC26" s="16"/>
    </row>
    <row r="27" spans="1:77" ht="14.25" thickBot="1" thickTop="1">
      <c r="A27" s="24" t="s">
        <v>32</v>
      </c>
      <c r="B27" s="29" t="s">
        <v>60</v>
      </c>
      <c r="C27" s="32"/>
      <c r="D27" s="32"/>
      <c r="E27" s="32"/>
      <c r="F27" s="32"/>
      <c r="G27" s="32">
        <v>0</v>
      </c>
      <c r="H27" s="32"/>
      <c r="I27" s="32"/>
      <c r="J27" s="32"/>
      <c r="K27" s="32"/>
      <c r="L27" s="32"/>
      <c r="M27" s="32">
        <v>0</v>
      </c>
      <c r="N27" s="32"/>
      <c r="O27" s="32"/>
      <c r="P27" s="32"/>
      <c r="Q27" s="32"/>
      <c r="R27" s="32"/>
      <c r="S27" s="32">
        <v>0</v>
      </c>
      <c r="T27" s="32"/>
      <c r="U27" s="32"/>
      <c r="V27" s="32"/>
      <c r="W27" s="32"/>
      <c r="X27" s="32"/>
      <c r="Y27" s="32">
        <v>0</v>
      </c>
      <c r="Z27" s="32"/>
      <c r="AA27" s="32"/>
      <c r="AB27" s="32"/>
      <c r="AC27" s="32"/>
      <c r="AD27" s="32"/>
      <c r="AE27" s="32">
        <v>0</v>
      </c>
      <c r="AF27" s="32"/>
      <c r="AG27" s="32"/>
      <c r="AH27" s="32"/>
      <c r="AI27" s="32"/>
      <c r="AJ27" s="32"/>
      <c r="AK27" s="32">
        <v>0</v>
      </c>
      <c r="AL27" s="32"/>
      <c r="AM27" s="32"/>
      <c r="AN27" s="32"/>
      <c r="AO27" s="32"/>
      <c r="AP27" s="32"/>
      <c r="AQ27" s="32">
        <v>0</v>
      </c>
      <c r="AR27" s="32"/>
      <c r="AS27" s="32"/>
      <c r="AT27" s="32"/>
      <c r="AU27" s="32"/>
      <c r="AV27" s="32"/>
      <c r="AW27" s="32">
        <v>0</v>
      </c>
      <c r="AX27" s="32"/>
      <c r="AY27" s="32"/>
      <c r="AZ27" s="32"/>
      <c r="BA27" s="32"/>
      <c r="BB27" s="32"/>
      <c r="BC27" s="34">
        <v>205215</v>
      </c>
      <c r="BD27" s="32"/>
      <c r="BE27" s="32"/>
      <c r="BF27" s="32"/>
      <c r="BG27" s="32"/>
      <c r="BH27" s="32"/>
      <c r="BI27" s="34">
        <v>205215</v>
      </c>
      <c r="BJ27" s="32"/>
      <c r="BK27" s="32"/>
      <c r="BL27" s="32"/>
      <c r="BM27" s="32"/>
      <c r="BN27" s="32"/>
      <c r="BO27" s="34">
        <v>205215</v>
      </c>
      <c r="BP27" s="32"/>
      <c r="BQ27" s="32"/>
      <c r="BR27" s="32"/>
      <c r="BS27" s="32"/>
      <c r="BT27" s="32"/>
      <c r="BU27" s="34">
        <v>205215</v>
      </c>
      <c r="BV27" s="32"/>
      <c r="BW27" s="32"/>
      <c r="BX27" s="32"/>
      <c r="BY27" s="66">
        <f t="shared" si="3"/>
        <v>205215</v>
      </c>
    </row>
    <row r="28" spans="1:77" ht="14.25" thickBot="1" thickTop="1">
      <c r="A28" s="24" t="s">
        <v>32</v>
      </c>
      <c r="B28" s="29" t="s">
        <v>61</v>
      </c>
      <c r="C28" s="32"/>
      <c r="D28" s="32"/>
      <c r="E28" s="32"/>
      <c r="F28" s="32"/>
      <c r="G28" s="32">
        <v>960</v>
      </c>
      <c r="H28" s="32"/>
      <c r="I28" s="32"/>
      <c r="J28" s="32"/>
      <c r="K28" s="32"/>
      <c r="L28" s="32"/>
      <c r="M28" s="32">
        <f>960+G28</f>
        <v>1920</v>
      </c>
      <c r="N28" s="32"/>
      <c r="O28" s="32"/>
      <c r="P28" s="32"/>
      <c r="Q28" s="32"/>
      <c r="R28" s="32"/>
      <c r="S28" s="32">
        <f>960+M28</f>
        <v>2880</v>
      </c>
      <c r="T28" s="32"/>
      <c r="U28" s="32"/>
      <c r="V28" s="32"/>
      <c r="W28" s="32"/>
      <c r="X28" s="32"/>
      <c r="Y28" s="32">
        <f>960+S28</f>
        <v>3840</v>
      </c>
      <c r="Z28" s="32"/>
      <c r="AA28" s="32"/>
      <c r="AB28" s="32"/>
      <c r="AC28" s="32"/>
      <c r="AD28" s="32"/>
      <c r="AE28" s="32">
        <f>960+Y28</f>
        <v>4800</v>
      </c>
      <c r="AF28" s="32"/>
      <c r="AG28" s="32"/>
      <c r="AH28" s="32"/>
      <c r="AI28" s="32"/>
      <c r="AJ28" s="32"/>
      <c r="AK28" s="32">
        <f>960+AE28</f>
        <v>5760</v>
      </c>
      <c r="AL28" s="32"/>
      <c r="AM28" s="32"/>
      <c r="AN28" s="32"/>
      <c r="AO28" s="32"/>
      <c r="AP28" s="32"/>
      <c r="AQ28" s="32">
        <f>960+AK28</f>
        <v>6720</v>
      </c>
      <c r="AR28" s="32"/>
      <c r="AS28" s="32"/>
      <c r="AT28" s="32"/>
      <c r="AU28" s="32"/>
      <c r="AV28" s="32"/>
      <c r="AW28" s="32">
        <f>960+AQ28</f>
        <v>7680</v>
      </c>
      <c r="AX28" s="32"/>
      <c r="AY28" s="32"/>
      <c r="AZ28" s="32"/>
      <c r="BA28" s="32"/>
      <c r="BB28" s="32"/>
      <c r="BC28" s="32">
        <f>960+AW28</f>
        <v>8640</v>
      </c>
      <c r="BD28" s="32"/>
      <c r="BE28" s="32"/>
      <c r="BF28" s="32"/>
      <c r="BG28" s="32"/>
      <c r="BH28" s="32"/>
      <c r="BI28" s="32">
        <f>960+BC28</f>
        <v>9600</v>
      </c>
      <c r="BJ28" s="32"/>
      <c r="BK28" s="32"/>
      <c r="BL28" s="32"/>
      <c r="BM28" s="32"/>
      <c r="BN28" s="32"/>
      <c r="BO28" s="32">
        <f>960+BI28</f>
        <v>10560</v>
      </c>
      <c r="BP28" s="32"/>
      <c r="BQ28" s="32"/>
      <c r="BR28" s="32"/>
      <c r="BS28" s="32"/>
      <c r="BT28" s="32"/>
      <c r="BU28" s="32">
        <f>940+BO28</f>
        <v>11500</v>
      </c>
      <c r="BV28" s="32"/>
      <c r="BW28" s="32"/>
      <c r="BX28" s="32"/>
      <c r="BY28" s="36">
        <f t="shared" si="3"/>
        <v>11500</v>
      </c>
    </row>
    <row r="29" spans="1:77" ht="14.25" thickBot="1" thickTop="1">
      <c r="A29" s="24" t="s">
        <v>46</v>
      </c>
      <c r="B29" s="29" t="s">
        <v>62</v>
      </c>
      <c r="C29" s="32"/>
      <c r="D29" s="32"/>
      <c r="E29" s="32"/>
      <c r="F29" s="32"/>
      <c r="G29" s="32">
        <v>4040</v>
      </c>
      <c r="H29" s="32"/>
      <c r="I29" s="32"/>
      <c r="J29" s="32"/>
      <c r="K29" s="32"/>
      <c r="L29" s="32"/>
      <c r="M29" s="32">
        <f>4040+G29</f>
        <v>8080</v>
      </c>
      <c r="N29" s="32"/>
      <c r="O29" s="32"/>
      <c r="P29" s="32"/>
      <c r="Q29" s="32"/>
      <c r="R29" s="32"/>
      <c r="S29" s="32">
        <f>10540+M29</f>
        <v>18620</v>
      </c>
      <c r="T29" s="32"/>
      <c r="U29" s="32"/>
      <c r="V29" s="32"/>
      <c r="W29" s="32"/>
      <c r="X29" s="32"/>
      <c r="Y29" s="32">
        <f>8040+S29</f>
        <v>26660</v>
      </c>
      <c r="Z29" s="32"/>
      <c r="AA29" s="32"/>
      <c r="AB29" s="32"/>
      <c r="AC29" s="32"/>
      <c r="AD29" s="32"/>
      <c r="AE29" s="32">
        <f>8040+Y29</f>
        <v>34700</v>
      </c>
      <c r="AF29" s="32"/>
      <c r="AG29" s="32"/>
      <c r="AH29" s="32"/>
      <c r="AI29" s="32"/>
      <c r="AJ29" s="32"/>
      <c r="AK29" s="32">
        <f>8040+AE29</f>
        <v>42740</v>
      </c>
      <c r="AL29" s="32"/>
      <c r="AM29" s="32"/>
      <c r="AN29" s="32"/>
      <c r="AO29" s="32"/>
      <c r="AP29" s="32"/>
      <c r="AQ29" s="32">
        <f>8040+AK29</f>
        <v>50780</v>
      </c>
      <c r="AR29" s="32"/>
      <c r="AS29" s="32"/>
      <c r="AT29" s="32"/>
      <c r="AU29" s="32"/>
      <c r="AV29" s="32"/>
      <c r="AW29" s="32">
        <f>8040+AQ29</f>
        <v>58820</v>
      </c>
      <c r="AX29" s="32"/>
      <c r="AY29" s="32"/>
      <c r="AZ29" s="32"/>
      <c r="BA29" s="32"/>
      <c r="BB29" s="32"/>
      <c r="BC29" s="32">
        <f>8040+AW29</f>
        <v>66860</v>
      </c>
      <c r="BD29" s="32"/>
      <c r="BE29" s="32"/>
      <c r="BF29" s="32"/>
      <c r="BG29" s="32"/>
      <c r="BH29" s="32"/>
      <c r="BI29" s="32">
        <f>8040+BC29</f>
        <v>74900</v>
      </c>
      <c r="BJ29" s="32"/>
      <c r="BK29" s="32"/>
      <c r="BL29" s="32"/>
      <c r="BM29" s="32"/>
      <c r="BN29" s="32"/>
      <c r="BO29" s="32">
        <f>8040+BI29</f>
        <v>82940</v>
      </c>
      <c r="BP29" s="32"/>
      <c r="BQ29" s="32"/>
      <c r="BR29" s="32"/>
      <c r="BS29" s="32"/>
      <c r="BT29" s="32"/>
      <c r="BU29" s="32">
        <f>7060+BO29</f>
        <v>90000</v>
      </c>
      <c r="BV29" s="32"/>
      <c r="BW29" s="32"/>
      <c r="BX29" s="32"/>
      <c r="BY29" s="36">
        <f t="shared" si="3"/>
        <v>90000</v>
      </c>
    </row>
    <row r="30" spans="1:77" ht="14.25" thickBot="1" thickTop="1">
      <c r="A30" s="24" t="s">
        <v>32</v>
      </c>
      <c r="B30" s="29" t="s">
        <v>63</v>
      </c>
      <c r="C30" s="69"/>
      <c r="D30" s="69"/>
      <c r="E30" s="36"/>
      <c r="F30" s="69"/>
      <c r="G30" s="36">
        <v>22478702</v>
      </c>
      <c r="H30" s="36"/>
      <c r="I30" s="69"/>
      <c r="J30" s="69"/>
      <c r="K30" s="69"/>
      <c r="L30" s="69"/>
      <c r="M30" s="36">
        <f>0+G30</f>
        <v>22478702</v>
      </c>
      <c r="N30" s="69"/>
      <c r="O30" s="69"/>
      <c r="P30" s="69"/>
      <c r="Q30" s="69"/>
      <c r="R30" s="69"/>
      <c r="S30" s="36">
        <f>0+M30</f>
        <v>22478702</v>
      </c>
      <c r="T30" s="36"/>
      <c r="U30" s="69"/>
      <c r="V30" s="69"/>
      <c r="W30" s="69"/>
      <c r="X30" s="69"/>
      <c r="Y30" s="36">
        <f>S30</f>
        <v>22478702</v>
      </c>
      <c r="Z30" s="69"/>
      <c r="AA30" s="69"/>
      <c r="AB30" s="69"/>
      <c r="AC30" s="69"/>
      <c r="AD30" s="69"/>
      <c r="AE30" s="36">
        <f>16859026+Y30</f>
        <v>39337728</v>
      </c>
      <c r="AF30" s="69"/>
      <c r="AG30" s="69"/>
      <c r="AH30" s="69"/>
      <c r="AI30" s="69"/>
      <c r="AJ30" s="69"/>
      <c r="AK30" s="36">
        <f>AE30</f>
        <v>39337728</v>
      </c>
      <c r="AL30" s="36"/>
      <c r="AM30" s="69"/>
      <c r="AN30" s="69"/>
      <c r="AO30" s="69"/>
      <c r="AP30" s="69"/>
      <c r="AQ30" s="36">
        <f>AK30</f>
        <v>39337728</v>
      </c>
      <c r="AR30" s="69"/>
      <c r="AS30" s="69"/>
      <c r="AT30" s="69"/>
      <c r="AU30" s="69"/>
      <c r="AV30" s="69"/>
      <c r="AW30" s="36">
        <f>28098272+AQ30</f>
        <v>67436000</v>
      </c>
      <c r="AX30" s="69"/>
      <c r="AY30" s="69"/>
      <c r="AZ30" s="69"/>
      <c r="BA30" s="69"/>
      <c r="BB30" s="69"/>
      <c r="BC30" s="36">
        <f>AW30</f>
        <v>67436000</v>
      </c>
      <c r="BD30" s="36"/>
      <c r="BE30" s="69"/>
      <c r="BF30" s="69"/>
      <c r="BG30" s="69"/>
      <c r="BH30" s="69"/>
      <c r="BI30" s="36">
        <f>BC30</f>
        <v>67436000</v>
      </c>
      <c r="BJ30" s="69"/>
      <c r="BK30" s="69"/>
      <c r="BL30" s="69"/>
      <c r="BM30" s="69"/>
      <c r="BN30" s="69"/>
      <c r="BO30" s="36">
        <f>BI30</f>
        <v>67436000</v>
      </c>
      <c r="BP30" s="69"/>
      <c r="BQ30" s="69"/>
      <c r="BR30" s="69"/>
      <c r="BS30" s="69"/>
      <c r="BT30" s="69"/>
      <c r="BU30" s="36">
        <f>BO30</f>
        <v>67436000</v>
      </c>
      <c r="BV30" s="36"/>
      <c r="BW30" s="69"/>
      <c r="BX30" s="36"/>
      <c r="BY30" s="36">
        <f t="shared" si="3"/>
        <v>67436000</v>
      </c>
    </row>
    <row r="31" spans="1:77" ht="14.25" thickBot="1" thickTop="1">
      <c r="A31" s="24" t="s">
        <v>32</v>
      </c>
      <c r="B31" s="29" t="s">
        <v>64</v>
      </c>
      <c r="C31" s="32"/>
      <c r="D31" s="32"/>
      <c r="E31" s="36"/>
      <c r="F31" s="32"/>
      <c r="G31" s="36">
        <v>250000</v>
      </c>
      <c r="H31" s="32"/>
      <c r="I31" s="32"/>
      <c r="J31" s="32"/>
      <c r="K31" s="32"/>
      <c r="L31" s="32"/>
      <c r="M31" s="32">
        <f>0+G31</f>
        <v>250000</v>
      </c>
      <c r="N31" s="32"/>
      <c r="O31" s="32"/>
      <c r="P31" s="32"/>
      <c r="Q31" s="32"/>
      <c r="R31" s="32"/>
      <c r="S31" s="36">
        <f>0+M31</f>
        <v>250000</v>
      </c>
      <c r="T31" s="27"/>
      <c r="U31" s="32"/>
      <c r="V31" s="32"/>
      <c r="W31" s="32"/>
      <c r="X31" s="32"/>
      <c r="Y31" s="36">
        <f>S31</f>
        <v>250000</v>
      </c>
      <c r="Z31" s="32"/>
      <c r="AA31" s="32"/>
      <c r="AB31" s="32"/>
      <c r="AC31" s="32"/>
      <c r="AD31" s="32"/>
      <c r="AE31" s="36">
        <f>250000+Y31</f>
        <v>500000</v>
      </c>
      <c r="AF31" s="32"/>
      <c r="AG31" s="32"/>
      <c r="AH31" s="32"/>
      <c r="AI31" s="32"/>
      <c r="AJ31" s="32"/>
      <c r="AK31" s="36">
        <f>AE31</f>
        <v>500000</v>
      </c>
      <c r="AL31" s="36"/>
      <c r="AM31" s="32"/>
      <c r="AN31" s="32"/>
      <c r="AO31" s="32"/>
      <c r="AP31" s="32"/>
      <c r="AQ31" s="36">
        <f>AK31</f>
        <v>500000</v>
      </c>
      <c r="AR31" s="32"/>
      <c r="AS31" s="32"/>
      <c r="AT31" s="32"/>
      <c r="AU31" s="32"/>
      <c r="AV31" s="32"/>
      <c r="AW31" s="36">
        <f>AQ31</f>
        <v>500000</v>
      </c>
      <c r="AX31" s="32"/>
      <c r="AY31" s="32"/>
      <c r="AZ31" s="32"/>
      <c r="BA31" s="32"/>
      <c r="BB31" s="32"/>
      <c r="BC31" s="36">
        <f>AW31</f>
        <v>500000</v>
      </c>
      <c r="BD31" s="36"/>
      <c r="BE31" s="32"/>
      <c r="BF31" s="32"/>
      <c r="BG31" s="32"/>
      <c r="BH31" s="32"/>
      <c r="BI31" s="36">
        <f>BC31</f>
        <v>500000</v>
      </c>
      <c r="BJ31" s="32"/>
      <c r="BK31" s="32"/>
      <c r="BL31" s="32"/>
      <c r="BM31" s="32"/>
      <c r="BN31" s="32"/>
      <c r="BO31" s="36">
        <f>BI31</f>
        <v>500000</v>
      </c>
      <c r="BP31" s="32"/>
      <c r="BQ31" s="32"/>
      <c r="BR31" s="32"/>
      <c r="BS31" s="32"/>
      <c r="BT31" s="32"/>
      <c r="BU31" s="36">
        <f>BO31</f>
        <v>500000</v>
      </c>
      <c r="BV31" s="36"/>
      <c r="BW31" s="32"/>
      <c r="BX31" s="32"/>
      <c r="BY31" s="36">
        <f t="shared" si="3"/>
        <v>500000</v>
      </c>
    </row>
    <row r="32" spans="1:77" ht="14.25" thickBot="1" thickTop="1">
      <c r="A32" s="24" t="s">
        <v>34</v>
      </c>
      <c r="B32" s="29" t="s">
        <v>65</v>
      </c>
      <c r="C32" s="32"/>
      <c r="D32" s="32"/>
      <c r="E32" s="37"/>
      <c r="F32" s="37"/>
      <c r="G32" s="32">
        <v>367500</v>
      </c>
      <c r="H32" s="32"/>
      <c r="I32" s="32"/>
      <c r="J32" s="32"/>
      <c r="K32" s="37"/>
      <c r="L32" s="37"/>
      <c r="M32" s="32">
        <f>0+G32</f>
        <v>367500</v>
      </c>
      <c r="N32" s="32"/>
      <c r="O32" s="32"/>
      <c r="P32" s="32"/>
      <c r="Q32" s="37"/>
      <c r="R32" s="37"/>
      <c r="S32" s="36">
        <f>0+M32</f>
        <v>367500</v>
      </c>
      <c r="T32" s="32"/>
      <c r="U32" s="32"/>
      <c r="V32" s="32"/>
      <c r="W32" s="37"/>
      <c r="X32" s="37"/>
      <c r="Y32" s="36">
        <f>S32</f>
        <v>367500</v>
      </c>
      <c r="Z32" s="32"/>
      <c r="AA32" s="32"/>
      <c r="AB32" s="32"/>
      <c r="AC32" s="37"/>
      <c r="AD32" s="37"/>
      <c r="AE32" s="36">
        <f>367500+Y32</f>
        <v>735000</v>
      </c>
      <c r="AF32" s="32"/>
      <c r="AG32" s="32"/>
      <c r="AH32" s="32"/>
      <c r="AI32" s="37"/>
      <c r="AJ32" s="37"/>
      <c r="AK32" s="36">
        <f>AE32</f>
        <v>735000</v>
      </c>
      <c r="AL32" s="36"/>
      <c r="AM32" s="32"/>
      <c r="AN32" s="32"/>
      <c r="AO32" s="37"/>
      <c r="AP32" s="37"/>
      <c r="AQ32" s="36">
        <f>AK32</f>
        <v>735000</v>
      </c>
      <c r="AR32" s="32"/>
      <c r="AS32" s="32"/>
      <c r="AT32" s="32"/>
      <c r="AU32" s="37"/>
      <c r="AV32" s="37"/>
      <c r="AW32" s="36">
        <f>AQ32</f>
        <v>735000</v>
      </c>
      <c r="AX32" s="32"/>
      <c r="AY32" s="32"/>
      <c r="AZ32" s="32"/>
      <c r="BA32" s="37"/>
      <c r="BB32" s="37"/>
      <c r="BC32" s="36">
        <f>AW32</f>
        <v>735000</v>
      </c>
      <c r="BD32" s="36"/>
      <c r="BE32" s="32"/>
      <c r="BF32" s="32"/>
      <c r="BG32" s="37"/>
      <c r="BH32" s="37"/>
      <c r="BI32" s="36">
        <f>BC32</f>
        <v>735000</v>
      </c>
      <c r="BJ32" s="32"/>
      <c r="BK32" s="32"/>
      <c r="BL32" s="32"/>
      <c r="BM32" s="37"/>
      <c r="BN32" s="37"/>
      <c r="BO32" s="36">
        <f>BI32</f>
        <v>735000</v>
      </c>
      <c r="BP32" s="32"/>
      <c r="BQ32" s="32"/>
      <c r="BR32" s="32"/>
      <c r="BS32" s="37"/>
      <c r="BT32" s="37"/>
      <c r="BU32" s="36">
        <f>BO32</f>
        <v>735000</v>
      </c>
      <c r="BV32" s="36"/>
      <c r="BW32" s="32"/>
      <c r="BX32" s="32"/>
      <c r="BY32" s="36">
        <f t="shared" si="3"/>
        <v>735000</v>
      </c>
    </row>
    <row r="33" spans="1:77" ht="14.25" thickBot="1" thickTop="1">
      <c r="A33" s="24" t="s">
        <v>48</v>
      </c>
      <c r="B33" s="29" t="s">
        <v>66</v>
      </c>
      <c r="C33" s="32"/>
      <c r="D33" s="32"/>
      <c r="E33" s="32"/>
      <c r="F33" s="32"/>
      <c r="G33" s="32">
        <v>0</v>
      </c>
      <c r="H33" s="32"/>
      <c r="I33" s="32"/>
      <c r="J33" s="32"/>
      <c r="K33" s="32"/>
      <c r="L33" s="32"/>
      <c r="M33" s="36">
        <v>0</v>
      </c>
      <c r="N33" s="32"/>
      <c r="O33" s="32"/>
      <c r="P33" s="32"/>
      <c r="Q33" s="32"/>
      <c r="R33" s="32"/>
      <c r="S33" s="36">
        <v>0</v>
      </c>
      <c r="T33" s="32"/>
      <c r="U33" s="32"/>
      <c r="V33" s="32"/>
      <c r="W33" s="32"/>
      <c r="X33" s="32"/>
      <c r="Y33" s="36">
        <v>0</v>
      </c>
      <c r="Z33" s="32"/>
      <c r="AA33" s="32"/>
      <c r="AB33" s="32"/>
      <c r="AC33" s="32"/>
      <c r="AD33" s="32"/>
      <c r="AE33" s="36">
        <v>0</v>
      </c>
      <c r="AF33" s="32"/>
      <c r="AG33" s="32"/>
      <c r="AH33" s="32"/>
      <c r="AI33" s="32"/>
      <c r="AJ33" s="32"/>
      <c r="AK33" s="36">
        <v>0</v>
      </c>
      <c r="AL33" s="32"/>
      <c r="AM33" s="32"/>
      <c r="AN33" s="32"/>
      <c r="AO33" s="32"/>
      <c r="AP33" s="32"/>
      <c r="AQ33" s="36">
        <v>0</v>
      </c>
      <c r="AR33" s="32"/>
      <c r="AS33" s="32"/>
      <c r="AT33" s="32"/>
      <c r="AU33" s="32"/>
      <c r="AV33" s="32"/>
      <c r="AW33" s="36">
        <v>0</v>
      </c>
      <c r="AX33" s="32"/>
      <c r="AY33" s="32"/>
      <c r="AZ33" s="32"/>
      <c r="BA33" s="32"/>
      <c r="BB33" s="32"/>
      <c r="BC33" s="66">
        <v>4639336</v>
      </c>
      <c r="BD33" s="32"/>
      <c r="BE33" s="32"/>
      <c r="BF33" s="32"/>
      <c r="BG33" s="32"/>
      <c r="BH33" s="32"/>
      <c r="BI33" s="66">
        <v>6000000</v>
      </c>
      <c r="BJ33" s="32"/>
      <c r="BK33" s="32"/>
      <c r="BL33" s="32"/>
      <c r="BM33" s="32"/>
      <c r="BN33" s="32"/>
      <c r="BO33" s="66">
        <v>6500000</v>
      </c>
      <c r="BP33" s="32"/>
      <c r="BQ33" s="32"/>
      <c r="BR33" s="32"/>
      <c r="BS33" s="32"/>
      <c r="BT33" s="32"/>
      <c r="BU33" s="66">
        <v>6959000</v>
      </c>
      <c r="BV33" s="32"/>
      <c r="BW33" s="32"/>
      <c r="BX33" s="32"/>
      <c r="BY33" s="66">
        <f t="shared" si="3"/>
        <v>6959000</v>
      </c>
    </row>
    <row r="34" spans="1:77" ht="14.25" thickBot="1" thickTop="1">
      <c r="A34" s="24" t="s">
        <v>36</v>
      </c>
      <c r="B34" s="29" t="s">
        <v>67</v>
      </c>
      <c r="C34" s="32"/>
      <c r="D34" s="32"/>
      <c r="E34" s="32"/>
      <c r="F34" s="32"/>
      <c r="G34" s="32">
        <v>0</v>
      </c>
      <c r="H34" s="32"/>
      <c r="I34" s="32"/>
      <c r="J34" s="32"/>
      <c r="K34" s="32"/>
      <c r="L34" s="32"/>
      <c r="M34" s="32">
        <v>0</v>
      </c>
      <c r="N34" s="32"/>
      <c r="O34" s="32"/>
      <c r="P34" s="32"/>
      <c r="Q34" s="32"/>
      <c r="R34" s="32"/>
      <c r="S34" s="32">
        <v>0</v>
      </c>
      <c r="T34" s="32"/>
      <c r="U34" s="32"/>
      <c r="V34" s="32"/>
      <c r="W34" s="32"/>
      <c r="X34" s="32"/>
      <c r="Y34" s="32">
        <v>0</v>
      </c>
      <c r="Z34" s="32"/>
      <c r="AA34" s="32"/>
      <c r="AB34" s="32"/>
      <c r="AC34" s="32"/>
      <c r="AD34" s="32"/>
      <c r="AE34" s="32">
        <v>0</v>
      </c>
      <c r="AF34" s="32"/>
      <c r="AG34" s="32"/>
      <c r="AH34" s="32"/>
      <c r="AI34" s="32"/>
      <c r="AJ34" s="32"/>
      <c r="AK34" s="32">
        <v>0</v>
      </c>
      <c r="AL34" s="32"/>
      <c r="AM34" s="32"/>
      <c r="AN34" s="32"/>
      <c r="AO34" s="32"/>
      <c r="AP34" s="32"/>
      <c r="AQ34" s="32">
        <v>0</v>
      </c>
      <c r="AR34" s="32"/>
      <c r="AS34" s="32"/>
      <c r="AT34" s="32"/>
      <c r="AU34" s="32"/>
      <c r="AV34" s="32"/>
      <c r="AW34" s="32">
        <v>0</v>
      </c>
      <c r="AX34" s="32"/>
      <c r="AY34" s="32"/>
      <c r="AZ34" s="32"/>
      <c r="BA34" s="32"/>
      <c r="BB34" s="32"/>
      <c r="BC34" s="34">
        <v>132018</v>
      </c>
      <c r="BD34" s="32"/>
      <c r="BE34" s="32"/>
      <c r="BF34" s="32"/>
      <c r="BG34" s="32"/>
      <c r="BH34" s="32"/>
      <c r="BI34" s="34">
        <v>132018</v>
      </c>
      <c r="BJ34" s="32"/>
      <c r="BK34" s="32"/>
      <c r="BL34" s="32"/>
      <c r="BM34" s="32"/>
      <c r="BN34" s="32"/>
      <c r="BO34" s="34">
        <v>132018</v>
      </c>
      <c r="BP34" s="32"/>
      <c r="BQ34" s="32"/>
      <c r="BR34" s="32"/>
      <c r="BS34" s="32"/>
      <c r="BT34" s="32"/>
      <c r="BU34" s="34">
        <v>132018</v>
      </c>
      <c r="BV34" s="32"/>
      <c r="BW34" s="32"/>
      <c r="BX34" s="32"/>
      <c r="BY34" s="66">
        <f t="shared" si="3"/>
        <v>132018</v>
      </c>
    </row>
    <row r="35" spans="1:77" ht="14.25" thickBot="1" thickTop="1">
      <c r="A35" s="24" t="s">
        <v>36</v>
      </c>
      <c r="B35" s="29" t="s">
        <v>68</v>
      </c>
      <c r="C35" s="32"/>
      <c r="D35" s="32"/>
      <c r="E35" s="32"/>
      <c r="F35" s="32"/>
      <c r="G35" s="32">
        <v>0</v>
      </c>
      <c r="H35" s="32"/>
      <c r="I35" s="32"/>
      <c r="J35" s="32"/>
      <c r="K35" s="32"/>
      <c r="L35" s="32"/>
      <c r="M35" s="32">
        <v>0</v>
      </c>
      <c r="N35" s="32"/>
      <c r="O35" s="32"/>
      <c r="P35" s="32"/>
      <c r="Q35" s="32"/>
      <c r="R35" s="32"/>
      <c r="S35" s="32">
        <v>0</v>
      </c>
      <c r="T35" s="32"/>
      <c r="U35" s="32"/>
      <c r="V35" s="32"/>
      <c r="W35" s="32"/>
      <c r="X35" s="32"/>
      <c r="Y35" s="32">
        <v>0</v>
      </c>
      <c r="Z35" s="32"/>
      <c r="AA35" s="32"/>
      <c r="AB35" s="32"/>
      <c r="AC35" s="32"/>
      <c r="AD35" s="32"/>
      <c r="AE35" s="32">
        <v>0</v>
      </c>
      <c r="AF35" s="32"/>
      <c r="AG35" s="32"/>
      <c r="AH35" s="32"/>
      <c r="AI35" s="32"/>
      <c r="AJ35" s="32"/>
      <c r="AK35" s="32">
        <v>0</v>
      </c>
      <c r="AL35" s="32"/>
      <c r="AM35" s="32"/>
      <c r="AN35" s="32"/>
      <c r="AO35" s="32"/>
      <c r="AP35" s="32"/>
      <c r="AQ35" s="32">
        <v>0</v>
      </c>
      <c r="AR35" s="32"/>
      <c r="AS35" s="32"/>
      <c r="AT35" s="32"/>
      <c r="AU35" s="32"/>
      <c r="AV35" s="32"/>
      <c r="AW35" s="32">
        <v>0</v>
      </c>
      <c r="AX35" s="32"/>
      <c r="AY35" s="32"/>
      <c r="AZ35" s="32"/>
      <c r="BA35" s="32"/>
      <c r="BB35" s="32"/>
      <c r="BC35" s="34">
        <v>0</v>
      </c>
      <c r="BD35" s="32"/>
      <c r="BE35" s="32"/>
      <c r="BF35" s="32"/>
      <c r="BG35" s="32"/>
      <c r="BH35" s="32"/>
      <c r="BI35" s="34">
        <v>300000</v>
      </c>
      <c r="BJ35" s="32"/>
      <c r="BK35" s="32"/>
      <c r="BL35" s="32"/>
      <c r="BM35" s="32"/>
      <c r="BN35" s="32"/>
      <c r="BO35" s="34">
        <v>500000</v>
      </c>
      <c r="BP35" s="32"/>
      <c r="BQ35" s="32"/>
      <c r="BR35" s="32"/>
      <c r="BS35" s="32"/>
      <c r="BT35" s="32"/>
      <c r="BU35" s="34">
        <v>500000</v>
      </c>
      <c r="BV35" s="32"/>
      <c r="BW35" s="32"/>
      <c r="BX35" s="32"/>
      <c r="BY35" s="66">
        <f t="shared" si="3"/>
        <v>500000</v>
      </c>
    </row>
    <row r="36" spans="1:77" ht="14.25" thickBot="1" thickTop="1">
      <c r="A36" s="70" t="s">
        <v>40</v>
      </c>
      <c r="B36" s="29" t="s">
        <v>69</v>
      </c>
      <c r="C36" s="32"/>
      <c r="D36" s="32"/>
      <c r="E36" s="32"/>
      <c r="F36" s="32"/>
      <c r="G36" s="32">
        <v>0</v>
      </c>
      <c r="H36" s="32"/>
      <c r="I36" s="32"/>
      <c r="J36" s="32"/>
      <c r="K36" s="32"/>
      <c r="L36" s="32"/>
      <c r="M36" s="32">
        <v>0</v>
      </c>
      <c r="N36" s="32"/>
      <c r="O36" s="32"/>
      <c r="P36" s="32"/>
      <c r="Q36" s="32"/>
      <c r="R36" s="32"/>
      <c r="S36" s="32">
        <v>0</v>
      </c>
      <c r="T36" s="32"/>
      <c r="U36" s="32"/>
      <c r="V36" s="32"/>
      <c r="W36" s="32"/>
      <c r="X36" s="32"/>
      <c r="Y36" s="32">
        <v>0</v>
      </c>
      <c r="Z36" s="32"/>
      <c r="AA36" s="32"/>
      <c r="AB36" s="32"/>
      <c r="AC36" s="32"/>
      <c r="AD36" s="32"/>
      <c r="AE36" s="32">
        <v>0</v>
      </c>
      <c r="AF36" s="32"/>
      <c r="AG36" s="32"/>
      <c r="AH36" s="32"/>
      <c r="AI36" s="32"/>
      <c r="AJ36" s="32"/>
      <c r="AK36" s="32">
        <v>0</v>
      </c>
      <c r="AL36" s="32"/>
      <c r="AM36" s="32"/>
      <c r="AN36" s="32"/>
      <c r="AO36" s="32"/>
      <c r="AP36" s="32"/>
      <c r="AQ36" s="32">
        <v>0</v>
      </c>
      <c r="AR36" s="32"/>
      <c r="AS36" s="32"/>
      <c r="AT36" s="32"/>
      <c r="AU36" s="32"/>
      <c r="AV36" s="32"/>
      <c r="AW36" s="32">
        <v>0</v>
      </c>
      <c r="AX36" s="32"/>
      <c r="AY36" s="32"/>
      <c r="AZ36" s="32"/>
      <c r="BA36" s="32"/>
      <c r="BB36" s="32"/>
      <c r="BC36" s="34">
        <v>1614965</v>
      </c>
      <c r="BD36" s="32"/>
      <c r="BE36" s="32"/>
      <c r="BF36" s="32"/>
      <c r="BG36" s="32"/>
      <c r="BH36" s="32"/>
      <c r="BI36" s="34">
        <v>1614965</v>
      </c>
      <c r="BJ36" s="32"/>
      <c r="BK36" s="32"/>
      <c r="BL36" s="32"/>
      <c r="BM36" s="32"/>
      <c r="BN36" s="32"/>
      <c r="BO36" s="34">
        <v>1614965</v>
      </c>
      <c r="BP36" s="32"/>
      <c r="BQ36" s="32"/>
      <c r="BR36" s="32"/>
      <c r="BS36" s="32"/>
      <c r="BT36" s="32"/>
      <c r="BU36" s="34">
        <v>1614965</v>
      </c>
      <c r="BV36" s="32"/>
      <c r="BW36" s="32"/>
      <c r="BX36" s="32"/>
      <c r="BY36" s="66">
        <f t="shared" si="3"/>
        <v>1614965</v>
      </c>
    </row>
    <row r="37" spans="1:77" ht="14.25" thickBot="1" thickTop="1">
      <c r="A37" s="70" t="s">
        <v>38</v>
      </c>
      <c r="B37" s="29" t="s">
        <v>70</v>
      </c>
      <c r="C37" s="32"/>
      <c r="D37" s="32"/>
      <c r="E37" s="32"/>
      <c r="F37" s="32"/>
      <c r="G37" s="32">
        <v>0</v>
      </c>
      <c r="H37" s="32"/>
      <c r="I37" s="32"/>
      <c r="J37" s="32"/>
      <c r="K37" s="32"/>
      <c r="L37" s="32"/>
      <c r="M37" s="32">
        <v>0</v>
      </c>
      <c r="N37" s="32"/>
      <c r="O37" s="32"/>
      <c r="P37" s="32"/>
      <c r="Q37" s="32"/>
      <c r="R37" s="32"/>
      <c r="S37" s="32">
        <v>0</v>
      </c>
      <c r="T37" s="32"/>
      <c r="U37" s="32"/>
      <c r="V37" s="32"/>
      <c r="W37" s="32"/>
      <c r="X37" s="32"/>
      <c r="Y37" s="32">
        <v>0</v>
      </c>
      <c r="Z37" s="32"/>
      <c r="AA37" s="32"/>
      <c r="AB37" s="32"/>
      <c r="AC37" s="32"/>
      <c r="AD37" s="32"/>
      <c r="AE37" s="32">
        <v>0</v>
      </c>
      <c r="AF37" s="32"/>
      <c r="AG37" s="32"/>
      <c r="AH37" s="32"/>
      <c r="AI37" s="32"/>
      <c r="AJ37" s="32"/>
      <c r="AK37" s="32">
        <v>0</v>
      </c>
      <c r="AL37" s="32"/>
      <c r="AM37" s="32"/>
      <c r="AN37" s="32"/>
      <c r="AO37" s="32"/>
      <c r="AP37" s="32"/>
      <c r="AQ37" s="32">
        <v>0</v>
      </c>
      <c r="AR37" s="32"/>
      <c r="AS37" s="32"/>
      <c r="AT37" s="32"/>
      <c r="AU37" s="32"/>
      <c r="AV37" s="32"/>
      <c r="AW37" s="32">
        <v>0</v>
      </c>
      <c r="AX37" s="32"/>
      <c r="AY37" s="32"/>
      <c r="AZ37" s="32"/>
      <c r="BA37" s="32"/>
      <c r="BB37" s="32"/>
      <c r="BC37" s="34">
        <v>19380</v>
      </c>
      <c r="BD37" s="32"/>
      <c r="BE37" s="32"/>
      <c r="BF37" s="32"/>
      <c r="BG37" s="32"/>
      <c r="BH37" s="32"/>
      <c r="BI37" s="34">
        <v>19380</v>
      </c>
      <c r="BJ37" s="32"/>
      <c r="BK37" s="32"/>
      <c r="BL37" s="32"/>
      <c r="BM37" s="32"/>
      <c r="BN37" s="32"/>
      <c r="BO37" s="34">
        <v>19380</v>
      </c>
      <c r="BP37" s="32"/>
      <c r="BQ37" s="32"/>
      <c r="BR37" s="32"/>
      <c r="BS37" s="32"/>
      <c r="BT37" s="32"/>
      <c r="BU37" s="34">
        <v>19380</v>
      </c>
      <c r="BV37" s="32"/>
      <c r="BW37" s="32"/>
      <c r="BX37" s="32"/>
      <c r="BY37" s="66">
        <f t="shared" si="3"/>
        <v>19380</v>
      </c>
    </row>
    <row r="38" spans="1:77" ht="14.25" thickBot="1" thickTop="1">
      <c r="A38" s="70" t="s">
        <v>38</v>
      </c>
      <c r="B38" s="29" t="s">
        <v>71</v>
      </c>
      <c r="C38" s="32"/>
      <c r="D38" s="32"/>
      <c r="E38" s="32"/>
      <c r="F38" s="32"/>
      <c r="G38" s="32">
        <v>0</v>
      </c>
      <c r="H38" s="32"/>
      <c r="I38" s="32"/>
      <c r="J38" s="32"/>
      <c r="K38" s="32"/>
      <c r="L38" s="32"/>
      <c r="M38" s="32">
        <v>0</v>
      </c>
      <c r="N38" s="32"/>
      <c r="O38" s="32"/>
      <c r="P38" s="32"/>
      <c r="Q38" s="32"/>
      <c r="R38" s="32"/>
      <c r="S38" s="32">
        <v>0</v>
      </c>
      <c r="T38" s="32"/>
      <c r="U38" s="32"/>
      <c r="V38" s="32"/>
      <c r="W38" s="32"/>
      <c r="X38" s="32"/>
      <c r="Y38" s="32">
        <v>0</v>
      </c>
      <c r="Z38" s="32"/>
      <c r="AA38" s="32"/>
      <c r="AB38" s="32"/>
      <c r="AC38" s="32"/>
      <c r="AD38" s="32"/>
      <c r="AE38" s="32">
        <v>0</v>
      </c>
      <c r="AF38" s="32"/>
      <c r="AG38" s="32"/>
      <c r="AH38" s="32"/>
      <c r="AI38" s="32"/>
      <c r="AJ38" s="32"/>
      <c r="AK38" s="32">
        <v>0</v>
      </c>
      <c r="AL38" s="32"/>
      <c r="AM38" s="32"/>
      <c r="AN38" s="32"/>
      <c r="AO38" s="32"/>
      <c r="AP38" s="32"/>
      <c r="AQ38" s="32">
        <v>0</v>
      </c>
      <c r="AR38" s="32"/>
      <c r="AS38" s="32"/>
      <c r="AT38" s="32"/>
      <c r="AU38" s="32"/>
      <c r="AV38" s="32"/>
      <c r="AW38" s="32">
        <v>0</v>
      </c>
      <c r="AX38" s="32"/>
      <c r="AY38" s="32"/>
      <c r="AZ38" s="32"/>
      <c r="BA38" s="32"/>
      <c r="BB38" s="32"/>
      <c r="BC38" s="34">
        <v>18000</v>
      </c>
      <c r="BD38" s="32"/>
      <c r="BE38" s="32"/>
      <c r="BF38" s="32"/>
      <c r="BG38" s="32"/>
      <c r="BH38" s="32"/>
      <c r="BI38" s="34">
        <v>100000</v>
      </c>
      <c r="BJ38" s="32"/>
      <c r="BK38" s="32"/>
      <c r="BL38" s="32"/>
      <c r="BM38" s="32"/>
      <c r="BN38" s="32"/>
      <c r="BO38" s="34">
        <v>200000</v>
      </c>
      <c r="BP38" s="32"/>
      <c r="BQ38" s="32"/>
      <c r="BR38" s="32"/>
      <c r="BS38" s="32"/>
      <c r="BT38" s="32"/>
      <c r="BU38" s="34">
        <v>357000</v>
      </c>
      <c r="BV38" s="32"/>
      <c r="BW38" s="32"/>
      <c r="BX38" s="32"/>
      <c r="BY38" s="66">
        <f t="shared" si="3"/>
        <v>357000</v>
      </c>
    </row>
    <row r="39" spans="1:77" ht="14.25" hidden="1" thickBot="1" thickTop="1">
      <c r="A39" s="24" t="s">
        <v>36</v>
      </c>
      <c r="B39" s="29" t="s">
        <v>72</v>
      </c>
      <c r="C39" s="32"/>
      <c r="D39" s="32"/>
      <c r="E39" s="32"/>
      <c r="F39" s="32"/>
      <c r="G39" s="32">
        <v>0</v>
      </c>
      <c r="H39" s="32"/>
      <c r="I39" s="32"/>
      <c r="J39" s="32"/>
      <c r="K39" s="32"/>
      <c r="L39" s="32"/>
      <c r="M39" s="32">
        <v>0</v>
      </c>
      <c r="N39" s="32"/>
      <c r="O39" s="32"/>
      <c r="P39" s="32"/>
      <c r="Q39" s="32"/>
      <c r="R39" s="32"/>
      <c r="S39" s="32">
        <v>0</v>
      </c>
      <c r="T39" s="32"/>
      <c r="U39" s="32"/>
      <c r="V39" s="32"/>
      <c r="W39" s="32"/>
      <c r="X39" s="32"/>
      <c r="Y39" s="32">
        <v>0</v>
      </c>
      <c r="Z39" s="32"/>
      <c r="AA39" s="32"/>
      <c r="AB39" s="32"/>
      <c r="AC39" s="32"/>
      <c r="AD39" s="32"/>
      <c r="AE39" s="32">
        <v>0</v>
      </c>
      <c r="AF39" s="32"/>
      <c r="AG39" s="32"/>
      <c r="AH39" s="32"/>
      <c r="AI39" s="32"/>
      <c r="AJ39" s="32"/>
      <c r="AK39" s="32">
        <v>0</v>
      </c>
      <c r="AL39" s="32"/>
      <c r="AM39" s="32"/>
      <c r="AN39" s="32"/>
      <c r="AO39" s="32"/>
      <c r="AP39" s="32"/>
      <c r="AQ39" s="32">
        <v>0</v>
      </c>
      <c r="AR39" s="32"/>
      <c r="AS39" s="32"/>
      <c r="AT39" s="32"/>
      <c r="AU39" s="32"/>
      <c r="AV39" s="32"/>
      <c r="AW39" s="32">
        <v>0</v>
      </c>
      <c r="AX39" s="32"/>
      <c r="AY39" s="32"/>
      <c r="AZ39" s="32"/>
      <c r="BA39" s="32"/>
      <c r="BB39" s="32"/>
      <c r="BC39" s="32">
        <v>0</v>
      </c>
      <c r="BD39" s="32"/>
      <c r="BE39" s="32"/>
      <c r="BF39" s="32"/>
      <c r="BG39" s="32"/>
      <c r="BH39" s="32"/>
      <c r="BI39" s="32">
        <v>0</v>
      </c>
      <c r="BJ39" s="32"/>
      <c r="BK39" s="32"/>
      <c r="BL39" s="32"/>
      <c r="BM39" s="32"/>
      <c r="BN39" s="32"/>
      <c r="BO39" s="32">
        <v>0</v>
      </c>
      <c r="BP39" s="32"/>
      <c r="BQ39" s="32"/>
      <c r="BR39" s="32"/>
      <c r="BS39" s="32"/>
      <c r="BT39" s="32"/>
      <c r="BU39" s="32">
        <v>0</v>
      </c>
      <c r="BV39" s="32"/>
      <c r="BW39" s="32"/>
      <c r="BX39" s="32"/>
      <c r="BY39" s="36">
        <f t="shared" si="3"/>
        <v>0</v>
      </c>
    </row>
    <row r="40" spans="1:77" s="16" customFormat="1" ht="25.5" thickBot="1" thickTop="1">
      <c r="A40" s="17"/>
      <c r="B40" s="9" t="s">
        <v>73</v>
      </c>
      <c r="C40" s="52"/>
      <c r="D40" s="52"/>
      <c r="E40" s="52"/>
      <c r="F40" s="52"/>
      <c r="G40" s="52">
        <f>SUM(G24:G39)</f>
        <v>23781202</v>
      </c>
      <c r="H40" s="52"/>
      <c r="I40" s="52"/>
      <c r="J40" s="52"/>
      <c r="K40" s="52"/>
      <c r="L40" s="52"/>
      <c r="M40" s="52">
        <f>SUM(M24:M39)</f>
        <v>24476202</v>
      </c>
      <c r="N40" s="52"/>
      <c r="O40" s="52"/>
      <c r="P40" s="52"/>
      <c r="Q40" s="52"/>
      <c r="R40" s="52"/>
      <c r="S40" s="52">
        <f>SUM(S24:S39)</f>
        <v>25137702</v>
      </c>
      <c r="T40" s="52"/>
      <c r="U40" s="52"/>
      <c r="V40" s="52"/>
      <c r="W40" s="52"/>
      <c r="X40" s="52"/>
      <c r="Y40" s="52">
        <f>SUM(Y24:Y39)</f>
        <v>25756702</v>
      </c>
      <c r="Z40" s="52"/>
      <c r="AA40" s="52"/>
      <c r="AB40" s="52"/>
      <c r="AC40" s="52"/>
      <c r="AD40" s="52"/>
      <c r="AE40" s="52">
        <f>SUM(AE24:AE39)</f>
        <v>43870528</v>
      </c>
      <c r="AF40" s="52"/>
      <c r="AG40" s="52"/>
      <c r="AH40" s="52"/>
      <c r="AI40" s="52"/>
      <c r="AJ40" s="52"/>
      <c r="AK40" s="52">
        <f>SUM(AK24:AK39)</f>
        <v>44499528</v>
      </c>
      <c r="AL40" s="52"/>
      <c r="AM40" s="52"/>
      <c r="AN40" s="52"/>
      <c r="AO40" s="52"/>
      <c r="AP40" s="52"/>
      <c r="AQ40" s="52">
        <f>SUM(AQ24:AQ39)</f>
        <v>44998528</v>
      </c>
      <c r="AR40" s="52"/>
      <c r="AS40" s="52"/>
      <c r="AT40" s="52"/>
      <c r="AU40" s="52"/>
      <c r="AV40" s="52"/>
      <c r="AW40" s="52">
        <f>SUM(AW24:AW39)</f>
        <v>73585800</v>
      </c>
      <c r="AX40" s="52"/>
      <c r="AY40" s="52"/>
      <c r="AZ40" s="52"/>
      <c r="BA40" s="52"/>
      <c r="BB40" s="52"/>
      <c r="BC40" s="52">
        <f>SUM(BC24:BC39)</f>
        <v>80833299</v>
      </c>
      <c r="BD40" s="52"/>
      <c r="BE40" s="52"/>
      <c r="BF40" s="52"/>
      <c r="BG40" s="52"/>
      <c r="BH40" s="52"/>
      <c r="BI40" s="52">
        <f>SUM(BI24:BI39)</f>
        <v>82919763</v>
      </c>
      <c r="BJ40" s="52"/>
      <c r="BK40" s="52"/>
      <c r="BL40" s="52"/>
      <c r="BM40" s="52"/>
      <c r="BN40" s="52"/>
      <c r="BO40" s="52">
        <f>SUM(BO24:BO39)</f>
        <v>84023563</v>
      </c>
      <c r="BP40" s="52"/>
      <c r="BQ40" s="52"/>
      <c r="BR40" s="52"/>
      <c r="BS40" s="52"/>
      <c r="BT40" s="52"/>
      <c r="BU40" s="52">
        <f>SUM(BU24:BU39)</f>
        <v>84952363</v>
      </c>
      <c r="BV40" s="52"/>
      <c r="BW40" s="71"/>
      <c r="BX40" s="52"/>
      <c r="BY40" s="72">
        <f>SUM(BY24:BY39)</f>
        <v>84952363</v>
      </c>
    </row>
    <row r="41" spans="3:77" ht="13.5" thickTop="1"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6"/>
      <c r="BX41" s="75"/>
      <c r="BY41" s="75"/>
    </row>
    <row r="42" spans="2:77" ht="12.75">
      <c r="B42" s="7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6"/>
      <c r="BX42" s="75"/>
      <c r="BY42" s="75"/>
    </row>
    <row r="43" spans="2:77" ht="12.75">
      <c r="B43" s="7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6"/>
      <c r="BX43" s="75"/>
      <c r="BY43" s="75"/>
    </row>
    <row r="44" spans="2:77" ht="12.75">
      <c r="B44" s="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6"/>
      <c r="BX44" s="75"/>
      <c r="BY44" s="75"/>
    </row>
    <row r="45" spans="2:77" ht="12.75">
      <c r="B45" s="7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6"/>
      <c r="BX45" s="75"/>
      <c r="BY45" s="75"/>
    </row>
    <row r="46" ht="12.75">
      <c r="B46" s="7"/>
    </row>
  </sheetData>
  <sheetProtection/>
  <mergeCells count="63">
    <mergeCell ref="BE21:BJ21"/>
    <mergeCell ref="BK21:BP21"/>
    <mergeCell ref="BQ21:BV21"/>
    <mergeCell ref="BW20:BY20"/>
    <mergeCell ref="C21:H21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AM20:AR20"/>
    <mergeCell ref="AS20:AX20"/>
    <mergeCell ref="AY20:BD20"/>
    <mergeCell ref="BE20:BJ20"/>
    <mergeCell ref="BK20:BP20"/>
    <mergeCell ref="BQ20:BV20"/>
    <mergeCell ref="C20:H20"/>
    <mergeCell ref="I20:N20"/>
    <mergeCell ref="O20:T20"/>
    <mergeCell ref="U20:Z20"/>
    <mergeCell ref="AA20:AF20"/>
    <mergeCell ref="AG20:AL20"/>
    <mergeCell ref="AS19:AU19"/>
    <mergeCell ref="AY19:BA19"/>
    <mergeCell ref="BE19:BG19"/>
    <mergeCell ref="BK19:BM19"/>
    <mergeCell ref="BQ19:BS19"/>
    <mergeCell ref="BW19:BX19"/>
    <mergeCell ref="BE3:BJ3"/>
    <mergeCell ref="BK3:BP3"/>
    <mergeCell ref="BQ3:BV3"/>
    <mergeCell ref="C19:E19"/>
    <mergeCell ref="I19:K19"/>
    <mergeCell ref="O19:Q19"/>
    <mergeCell ref="U19:W19"/>
    <mergeCell ref="AA19:AC19"/>
    <mergeCell ref="AG19:AI19"/>
    <mergeCell ref="AM19:AO19"/>
    <mergeCell ref="BW2:BY2"/>
    <mergeCell ref="C3:H3"/>
    <mergeCell ref="I3:N3"/>
    <mergeCell ref="O3:T3"/>
    <mergeCell ref="U3:Z3"/>
    <mergeCell ref="AA3:AF3"/>
    <mergeCell ref="AG3:AL3"/>
    <mergeCell ref="AM3:AR3"/>
    <mergeCell ref="AS3:AX3"/>
    <mergeCell ref="AY3:BD3"/>
    <mergeCell ref="AM2:AR2"/>
    <mergeCell ref="AS2:AX2"/>
    <mergeCell ref="AY2:BD2"/>
    <mergeCell ref="BE2:BJ2"/>
    <mergeCell ref="BK2:BP2"/>
    <mergeCell ref="BQ2:BV2"/>
    <mergeCell ref="C2:H2"/>
    <mergeCell ref="I2:N2"/>
    <mergeCell ref="O2:T2"/>
    <mergeCell ref="U2:Z2"/>
    <mergeCell ref="AA2:AF2"/>
    <mergeCell ref="AG2:AL2"/>
  </mergeCells>
  <printOptions/>
  <pageMargins left="0.37" right="0.29" top="0.32" bottom="0.35" header="0.18" footer="0.19"/>
  <pageSetup horizontalDpi="600" verticalDpi="600" orientation="landscape" paperSize="9" scale="95" r:id="rId1"/>
  <headerFooter>
    <oddFooter>&amp;CPage &amp;P</oddFooter>
  </headerFooter>
  <colBreaks count="6" manualBreakCount="6">
    <brk id="14" max="39" man="1"/>
    <brk id="25" max="39" man="1"/>
    <brk id="37" max="65535" man="1"/>
    <brk id="50" max="39" man="1"/>
    <brk id="62" max="39" man="1"/>
    <brk id="7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ndejager</dc:creator>
  <cp:keywords/>
  <dc:description/>
  <cp:lastModifiedBy>ndejager</cp:lastModifiedBy>
  <dcterms:created xsi:type="dcterms:W3CDTF">2009-04-29T14:12:25Z</dcterms:created>
  <dcterms:modified xsi:type="dcterms:W3CDTF">2009-04-29T14:12:42Z</dcterms:modified>
  <cp:category/>
  <cp:version/>
  <cp:contentType/>
  <cp:contentStatus/>
</cp:coreProperties>
</file>